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D:\Documenty\Internet\Marik\Publik\Metody1_5\"/>
    </mc:Choice>
  </mc:AlternateContent>
  <xr:revisionPtr revIDLastSave="0" documentId="13_ncr:1_{4331632E-B8FF-4589-BECC-E51290D4B65A}" xr6:coauthVersionLast="47" xr6:coauthVersionMax="47" xr10:uidLastSave="{00000000-0000-0000-0000-000000000000}"/>
  <bookViews>
    <workbookView xWindow="-120" yWindow="-120" windowWidth="29040" windowHeight="15840" xr2:uid="{00000000-000D-0000-FFFF-FFFF00000000}"/>
  </bookViews>
  <sheets>
    <sheet name="Obsah" sheetId="42" r:id="rId1"/>
    <sheet name="1 Regrese - Čas lin" sheetId="44" r:id="rId2"/>
    <sheet name="2 Regrese - SP exp" sheetId="10" r:id="rId3"/>
    <sheet name="3 Regrese - SP lin" sheetId="45" r:id="rId4"/>
    <sheet name="4 Vnější potenciál" sheetId="5" r:id="rId5"/>
    <sheet name="5 Vnitřní potenciál" sheetId="43" r:id="rId6"/>
    <sheet name="6 Tržby UNIPO" sheetId="15" r:id="rId7"/>
    <sheet name="7 Rozvaha" sheetId="20" r:id="rId8"/>
    <sheet name="8 Výsledovka" sheetId="21" r:id="rId9"/>
    <sheet name="9 Cash flow" sheetId="22" r:id="rId10"/>
    <sheet name="10 Struktura rozvahy" sheetId="23" r:id="rId11"/>
    <sheet name="11 Tempo rozvaha" sheetId="24" r:id="rId12"/>
    <sheet name="12 Struktura výsledovky" sheetId="25" r:id="rId13"/>
    <sheet name="13 Tempo výsledovka" sheetId="26" r:id="rId14"/>
    <sheet name="14 Ukazatele" sheetId="27" r:id="rId15"/>
    <sheet name="15 Rozdělení majektu" sheetId="46" r:id="rId16"/>
    <sheet name="16 Generátory" sheetId="29" r:id="rId17"/>
    <sheet name="17 Generátory - ocenění" sheetId="28" r:id="rId18"/>
    <sheet name="18 Plán" sheetId="30" r:id="rId19"/>
    <sheet name="19 nVK - CAPM" sheetId="37" r:id="rId20"/>
    <sheet name="20 nVK - Stavebnice" sheetId="36" r:id="rId21"/>
    <sheet name="21 WACC" sheetId="38" r:id="rId22"/>
    <sheet name="22 DCF" sheetId="33" r:id="rId23"/>
    <sheet name="23 EVA" sheetId="35" r:id="rId24"/>
    <sheet name="24 KČV" sheetId="39" r:id="rId25"/>
    <sheet name="25 Tržní porovnání" sheetId="47" r:id="rId26"/>
    <sheet name="26 Pohledávka" sheetId="31" r:id="rId27"/>
    <sheet name="27 Dluhopisy" sheetId="32" r:id="rId28"/>
    <sheet name="28 Souhrnné ocenění" sheetId="40" r:id="rId29"/>
  </sheets>
  <definedNames>
    <definedName name="výchozí_rok">'7 Rozvaha'!$C$3</definedName>
  </definedNames>
  <calcPr calcId="191029"/>
</workbook>
</file>

<file path=xl/calcChain.xml><?xml version="1.0" encoding="utf-8"?>
<calcChain xmlns="http://schemas.openxmlformats.org/spreadsheetml/2006/main">
  <c r="I117" i="30" l="1"/>
  <c r="I116" i="30"/>
  <c r="I115" i="30"/>
  <c r="I92" i="30"/>
  <c r="J42" i="30"/>
  <c r="K42" i="30" s="1"/>
  <c r="L42" i="30" s="1"/>
  <c r="M42" i="30" s="1"/>
  <c r="N42" i="30" s="1"/>
  <c r="O42" i="30" s="1"/>
  <c r="I54" i="30"/>
  <c r="I57" i="30"/>
  <c r="I55" i="30"/>
  <c r="I53" i="30"/>
  <c r="I52" i="30"/>
  <c r="I51" i="30"/>
  <c r="I47" i="30"/>
  <c r="I46" i="30"/>
  <c r="I43" i="30"/>
  <c r="J38" i="30"/>
  <c r="K38" i="30"/>
  <c r="L38" i="30" s="1"/>
  <c r="M38" i="30" s="1"/>
  <c r="N38" i="30" s="1"/>
  <c r="O38" i="30" s="1"/>
  <c r="C52" i="33"/>
  <c r="B5" i="37"/>
  <c r="B6" i="39"/>
  <c r="B8" i="39"/>
  <c r="B9" i="39"/>
  <c r="B11" i="39"/>
  <c r="B12" i="39"/>
  <c r="C14" i="39"/>
  <c r="B15" i="39" s="1"/>
  <c r="D14" i="39"/>
  <c r="E14" i="39"/>
  <c r="F14" i="39"/>
  <c r="C6" i="39"/>
  <c r="C8" i="39"/>
  <c r="C9" i="39"/>
  <c r="C11" i="39"/>
  <c r="C12" i="39"/>
  <c r="D6" i="39"/>
  <c r="D8" i="39"/>
  <c r="D9" i="39"/>
  <c r="D11" i="39"/>
  <c r="D12" i="39"/>
  <c r="E6" i="39"/>
  <c r="E8" i="39"/>
  <c r="E9" i="39"/>
  <c r="E11" i="39"/>
  <c r="E12" i="39"/>
  <c r="F6" i="39"/>
  <c r="F8" i="39"/>
  <c r="F9" i="39"/>
  <c r="F11" i="39"/>
  <c r="F12" i="39"/>
  <c r="G6" i="33"/>
  <c r="G49" i="30"/>
  <c r="G70" i="30"/>
  <c r="G71" i="30"/>
  <c r="G74" i="30"/>
  <c r="G73" i="30" s="1"/>
  <c r="G81" i="30"/>
  <c r="F6" i="28"/>
  <c r="G45" i="29"/>
  <c r="C45" i="29"/>
  <c r="B14" i="39"/>
  <c r="D35" i="5"/>
  <c r="D34" i="5"/>
  <c r="G34" i="5"/>
  <c r="F34" i="5"/>
  <c r="C35" i="5"/>
  <c r="C34" i="5"/>
  <c r="N31" i="5"/>
  <c r="L31" i="5"/>
  <c r="J31" i="5"/>
  <c r="N5" i="5"/>
  <c r="O6" i="5" s="1"/>
  <c r="N6" i="5"/>
  <c r="N7" i="5"/>
  <c r="N8" i="5"/>
  <c r="O8" i="5" s="1"/>
  <c r="N9" i="5"/>
  <c r="O9" i="5" s="1"/>
  <c r="N10" i="5"/>
  <c r="N11" i="5"/>
  <c r="N12" i="5"/>
  <c r="O12" i="5" s="1"/>
  <c r="N13" i="5"/>
  <c r="O14" i="5" s="1"/>
  <c r="N14" i="5"/>
  <c r="N15" i="5"/>
  <c r="N16" i="5"/>
  <c r="O16" i="5" s="1"/>
  <c r="N17" i="5"/>
  <c r="O18" i="5" s="1"/>
  <c r="N18" i="5"/>
  <c r="N19" i="5"/>
  <c r="N20" i="5"/>
  <c r="N21" i="5"/>
  <c r="N22" i="5"/>
  <c r="N23" i="5"/>
  <c r="N24" i="5"/>
  <c r="N25" i="5"/>
  <c r="O26" i="5" s="1"/>
  <c r="Q26" i="5" s="1"/>
  <c r="N26" i="5"/>
  <c r="N27" i="5"/>
  <c r="N28" i="5"/>
  <c r="N29" i="5"/>
  <c r="O29" i="5" s="1"/>
  <c r="N30" i="5"/>
  <c r="L5" i="5"/>
  <c r="L6" i="5"/>
  <c r="L7" i="5"/>
  <c r="M8" i="5" s="1"/>
  <c r="L8" i="5"/>
  <c r="L9" i="5"/>
  <c r="L10" i="5"/>
  <c r="L11" i="5"/>
  <c r="L12" i="5"/>
  <c r="L13" i="5"/>
  <c r="M13" i="5" s="1"/>
  <c r="L14" i="5"/>
  <c r="L15" i="5"/>
  <c r="L16" i="5"/>
  <c r="L17" i="5"/>
  <c r="L18" i="5"/>
  <c r="M18" i="5" s="1"/>
  <c r="L19" i="5"/>
  <c r="L20" i="5"/>
  <c r="L21" i="5"/>
  <c r="M21" i="5" s="1"/>
  <c r="L22" i="5"/>
  <c r="M22" i="5" s="1"/>
  <c r="L23" i="5"/>
  <c r="L24" i="5"/>
  <c r="L25" i="5"/>
  <c r="L26" i="5"/>
  <c r="L27" i="5"/>
  <c r="M27" i="5" s="1"/>
  <c r="L28" i="5"/>
  <c r="L29" i="5"/>
  <c r="L30" i="5"/>
  <c r="M35" i="5" s="1"/>
  <c r="L4" i="5"/>
  <c r="M5" i="5" s="1"/>
  <c r="J5" i="5"/>
  <c r="J6" i="5"/>
  <c r="J7" i="5"/>
  <c r="K7" i="5"/>
  <c r="J8" i="5"/>
  <c r="J9" i="5"/>
  <c r="J10" i="5"/>
  <c r="J11" i="5"/>
  <c r="K11" i="5" s="1"/>
  <c r="J12" i="5"/>
  <c r="J13" i="5"/>
  <c r="J14" i="5"/>
  <c r="K14" i="5" s="1"/>
  <c r="J15" i="5"/>
  <c r="J16" i="5"/>
  <c r="J17" i="5"/>
  <c r="J18" i="5"/>
  <c r="J19" i="5"/>
  <c r="J20" i="5"/>
  <c r="J21" i="5"/>
  <c r="J22" i="5"/>
  <c r="K22" i="5" s="1"/>
  <c r="J23" i="5"/>
  <c r="J24" i="5"/>
  <c r="J25" i="5"/>
  <c r="K25" i="5" s="1"/>
  <c r="J26" i="5"/>
  <c r="J27" i="5"/>
  <c r="J28" i="5"/>
  <c r="J29" i="5"/>
  <c r="J30" i="5"/>
  <c r="K35" i="5" s="1"/>
  <c r="J4" i="5"/>
  <c r="C15" i="45"/>
  <c r="C16" i="45"/>
  <c r="C17" i="45"/>
  <c r="C18" i="45"/>
  <c r="C19" i="45"/>
  <c r="C20" i="45"/>
  <c r="C21" i="45"/>
  <c r="C22" i="45"/>
  <c r="C23" i="45"/>
  <c r="C24" i="45"/>
  <c r="C25" i="45"/>
  <c r="A15" i="45"/>
  <c r="A16" i="45"/>
  <c r="A17" i="45"/>
  <c r="A18" i="45"/>
  <c r="A19" i="45"/>
  <c r="A20" i="45"/>
  <c r="A21" i="45"/>
  <c r="A22" i="45"/>
  <c r="A23" i="45"/>
  <c r="A24" i="45"/>
  <c r="A25" i="45"/>
  <c r="C14" i="10"/>
  <c r="C15" i="10"/>
  <c r="C16" i="10"/>
  <c r="C17" i="10"/>
  <c r="C18" i="10"/>
  <c r="C19" i="10"/>
  <c r="C20" i="10"/>
  <c r="C21" i="10"/>
  <c r="C22" i="10"/>
  <c r="C23" i="10"/>
  <c r="C24" i="10"/>
  <c r="C25" i="10"/>
  <c r="A22" i="10"/>
  <c r="A23" i="10"/>
  <c r="A24" i="10"/>
  <c r="A25" i="10"/>
  <c r="A14" i="10"/>
  <c r="A15" i="10"/>
  <c r="A16" i="10"/>
  <c r="A17" i="10"/>
  <c r="A18" i="10"/>
  <c r="A19" i="10"/>
  <c r="A20" i="10"/>
  <c r="A21" i="10"/>
  <c r="A25" i="44"/>
  <c r="A15" i="44"/>
  <c r="A16" i="44"/>
  <c r="A17" i="44"/>
  <c r="A18" i="44"/>
  <c r="A19" i="44"/>
  <c r="A20" i="44"/>
  <c r="A21" i="44"/>
  <c r="A22" i="44"/>
  <c r="A23" i="44"/>
  <c r="A24" i="44"/>
  <c r="H5" i="5"/>
  <c r="B6" i="10" s="1"/>
  <c r="D6" i="10" s="1"/>
  <c r="P5" i="5"/>
  <c r="H6" i="5"/>
  <c r="B7" i="45" s="1"/>
  <c r="H7" i="5"/>
  <c r="H8" i="5"/>
  <c r="P8" i="5"/>
  <c r="H9" i="5"/>
  <c r="H10" i="5"/>
  <c r="B11" i="45" s="1"/>
  <c r="H11" i="5"/>
  <c r="B12" i="44" s="1"/>
  <c r="H12" i="5"/>
  <c r="P12" i="5" s="1"/>
  <c r="H13" i="5"/>
  <c r="B14" i="10"/>
  <c r="D14" i="10" s="1"/>
  <c r="H14" i="5"/>
  <c r="H15" i="5"/>
  <c r="B16" i="44" s="1"/>
  <c r="H16" i="5"/>
  <c r="H17" i="5"/>
  <c r="P17" i="5"/>
  <c r="H18" i="5"/>
  <c r="H19" i="5"/>
  <c r="H20" i="5"/>
  <c r="H21" i="5"/>
  <c r="H22" i="5"/>
  <c r="H23" i="5"/>
  <c r="B24" i="10" s="1"/>
  <c r="D24" i="10" s="1"/>
  <c r="H24" i="5"/>
  <c r="H4" i="5"/>
  <c r="P4" i="5"/>
  <c r="S4" i="5"/>
  <c r="C14" i="5"/>
  <c r="C15" i="5"/>
  <c r="C16" i="5"/>
  <c r="C17" i="5"/>
  <c r="C18" i="5"/>
  <c r="C19" i="5"/>
  <c r="C20" i="5"/>
  <c r="C21" i="5"/>
  <c r="C22" i="5"/>
  <c r="C23" i="5"/>
  <c r="C24" i="5"/>
  <c r="C25" i="5"/>
  <c r="C26" i="5"/>
  <c r="C27" i="5"/>
  <c r="C28" i="5"/>
  <c r="C29" i="5"/>
  <c r="C30" i="5"/>
  <c r="B125" i="30"/>
  <c r="C125" i="30" s="1"/>
  <c r="D125" i="30" s="1"/>
  <c r="E125" i="30" s="1"/>
  <c r="F125" i="30" s="1"/>
  <c r="G125" i="30" s="1"/>
  <c r="C70" i="30"/>
  <c r="D70" i="30"/>
  <c r="E70" i="30"/>
  <c r="F70" i="30"/>
  <c r="B28" i="30"/>
  <c r="B70" i="30" s="1"/>
  <c r="C21" i="29"/>
  <c r="C38" i="29" s="1"/>
  <c r="D21" i="29"/>
  <c r="E21" i="29"/>
  <c r="E38" i="29"/>
  <c r="F21" i="29"/>
  <c r="C22" i="29"/>
  <c r="C42" i="29" s="1"/>
  <c r="D22" i="29"/>
  <c r="E22" i="29"/>
  <c r="F22" i="29"/>
  <c r="F42" i="29" s="1"/>
  <c r="C24" i="29"/>
  <c r="D24" i="29"/>
  <c r="E24" i="29"/>
  <c r="F24" i="29"/>
  <c r="F33" i="29" s="1"/>
  <c r="C25" i="29"/>
  <c r="D25" i="29"/>
  <c r="E25" i="29"/>
  <c r="F25" i="29"/>
  <c r="F34" i="29" s="1"/>
  <c r="C26" i="29"/>
  <c r="D26" i="29"/>
  <c r="E26" i="29"/>
  <c r="F26" i="29"/>
  <c r="F35" i="29" s="1"/>
  <c r="C27" i="29"/>
  <c r="D27" i="29"/>
  <c r="E27" i="29"/>
  <c r="F27" i="29"/>
  <c r="F36" i="29" s="1"/>
  <c r="B27" i="29"/>
  <c r="B26" i="29"/>
  <c r="B24" i="29"/>
  <c r="B25" i="29"/>
  <c r="B34" i="29" s="1"/>
  <c r="B22" i="29"/>
  <c r="B42" i="29" s="1"/>
  <c r="B21" i="29"/>
  <c r="B38" i="29" s="1"/>
  <c r="C22" i="46"/>
  <c r="D22" i="46"/>
  <c r="E22" i="46"/>
  <c r="F22" i="46"/>
  <c r="C23" i="46"/>
  <c r="D23" i="46"/>
  <c r="E23" i="46"/>
  <c r="F23" i="46"/>
  <c r="B23" i="46"/>
  <c r="B22" i="46"/>
  <c r="E13" i="25"/>
  <c r="F13" i="25"/>
  <c r="G13" i="25"/>
  <c r="H13" i="25"/>
  <c r="D13" i="25"/>
  <c r="E14" i="21"/>
  <c r="F14" i="21"/>
  <c r="G14" i="21"/>
  <c r="H14" i="21"/>
  <c r="D14" i="21"/>
  <c r="E17" i="21"/>
  <c r="F17" i="21"/>
  <c r="G17" i="21"/>
  <c r="H17" i="21"/>
  <c r="D17" i="21"/>
  <c r="E23" i="21"/>
  <c r="F23" i="21"/>
  <c r="G23" i="21"/>
  <c r="H23" i="21"/>
  <c r="B8" i="32" s="1"/>
  <c r="B9" i="32" s="1"/>
  <c r="D23" i="21"/>
  <c r="D26" i="21" s="1"/>
  <c r="D17" i="25" s="1"/>
  <c r="E12" i="21"/>
  <c r="F12" i="21"/>
  <c r="G12" i="21"/>
  <c r="G22" i="21" s="1"/>
  <c r="H12" i="21"/>
  <c r="D12" i="21"/>
  <c r="E6" i="21"/>
  <c r="E5" i="25"/>
  <c r="F6" i="21"/>
  <c r="G6" i="21"/>
  <c r="E21" i="27"/>
  <c r="H6" i="21"/>
  <c r="D6" i="21"/>
  <c r="D27" i="24"/>
  <c r="E27" i="24"/>
  <c r="F27" i="24"/>
  <c r="D28" i="24"/>
  <c r="E28" i="24"/>
  <c r="F28" i="24"/>
  <c r="C27" i="24"/>
  <c r="C28" i="24"/>
  <c r="D36" i="20"/>
  <c r="E36" i="20"/>
  <c r="D25" i="24"/>
  <c r="F36" i="20"/>
  <c r="G36" i="20"/>
  <c r="C36" i="20"/>
  <c r="G42" i="20"/>
  <c r="F42" i="20"/>
  <c r="F39" i="20"/>
  <c r="E42" i="20"/>
  <c r="D42" i="20"/>
  <c r="D39" i="20"/>
  <c r="C42" i="20"/>
  <c r="F49" i="30"/>
  <c r="E49" i="30"/>
  <c r="D49" i="30"/>
  <c r="C49" i="30"/>
  <c r="B131" i="30"/>
  <c r="C131" i="30" s="1"/>
  <c r="B132" i="30"/>
  <c r="C132" i="30" s="1"/>
  <c r="D132" i="30" s="1"/>
  <c r="E132" i="30" s="1"/>
  <c r="F132" i="30" s="1"/>
  <c r="G132" i="30" s="1"/>
  <c r="B134" i="30"/>
  <c r="D28" i="20"/>
  <c r="E28" i="20"/>
  <c r="F97" i="29"/>
  <c r="B154" i="29"/>
  <c r="B160" i="29" s="1"/>
  <c r="F109" i="29"/>
  <c r="B172" i="29" s="1"/>
  <c r="B178" i="29" s="1"/>
  <c r="F110" i="29"/>
  <c r="B171" i="29" s="1"/>
  <c r="F15" i="15"/>
  <c r="F7" i="29"/>
  <c r="F68" i="29"/>
  <c r="B3" i="28"/>
  <c r="B7" i="29"/>
  <c r="D34" i="20"/>
  <c r="E34" i="20" s="1"/>
  <c r="B180" i="29"/>
  <c r="C180" i="29" s="1"/>
  <c r="F103" i="29"/>
  <c r="B163" i="29" s="1"/>
  <c r="B99" i="30"/>
  <c r="B101" i="30"/>
  <c r="B102" i="30"/>
  <c r="B103" i="30"/>
  <c r="C7" i="20"/>
  <c r="B5" i="46"/>
  <c r="C11" i="20"/>
  <c r="C20" i="22" s="1"/>
  <c r="C15" i="20"/>
  <c r="B19" i="27" s="1"/>
  <c r="C20" i="20"/>
  <c r="C18" i="20"/>
  <c r="B79" i="29" s="1"/>
  <c r="B62" i="29" s="1"/>
  <c r="C10" i="22"/>
  <c r="C8" i="22"/>
  <c r="D20" i="20"/>
  <c r="C16" i="24" s="1"/>
  <c r="D15" i="20"/>
  <c r="C78" i="29" s="1"/>
  <c r="C15" i="22"/>
  <c r="D7" i="20"/>
  <c r="D11" i="20"/>
  <c r="C21" i="22"/>
  <c r="C25" i="22"/>
  <c r="C26" i="22"/>
  <c r="C27" i="22"/>
  <c r="D10" i="22"/>
  <c r="D8" i="22"/>
  <c r="E20" i="20"/>
  <c r="D8" i="46" s="1"/>
  <c r="E15" i="20"/>
  <c r="D15" i="22"/>
  <c r="E7" i="20"/>
  <c r="E11" i="20"/>
  <c r="D21" i="22"/>
  <c r="D25" i="22"/>
  <c r="D26" i="22"/>
  <c r="D27" i="22"/>
  <c r="D24" i="22" s="1"/>
  <c r="E10" i="22"/>
  <c r="E8" i="22"/>
  <c r="F20" i="20"/>
  <c r="F18" i="20"/>
  <c r="E79" i="29" s="1"/>
  <c r="F15" i="20"/>
  <c r="E78" i="29" s="1"/>
  <c r="E15" i="22"/>
  <c r="F7" i="20"/>
  <c r="F5" i="20" s="1"/>
  <c r="F11" i="20"/>
  <c r="E21" i="22"/>
  <c r="E25" i="22"/>
  <c r="E26" i="22"/>
  <c r="E27" i="22"/>
  <c r="G7" i="20"/>
  <c r="F8" i="22"/>
  <c r="B48" i="30" s="1"/>
  <c r="G20" i="20"/>
  <c r="G18" i="20"/>
  <c r="F79" i="29"/>
  <c r="G15" i="20"/>
  <c r="F78" i="29" s="1"/>
  <c r="F58" i="29" s="1"/>
  <c r="B11" i="30"/>
  <c r="D15" i="47" s="1"/>
  <c r="E15" i="47" s="1"/>
  <c r="B12" i="30"/>
  <c r="B13" i="30"/>
  <c r="B16" i="30"/>
  <c r="B15" i="30"/>
  <c r="B17" i="30"/>
  <c r="B74" i="30"/>
  <c r="B73" i="30" s="1"/>
  <c r="F25" i="22"/>
  <c r="F26" i="22"/>
  <c r="F24" i="22" s="1"/>
  <c r="B83" i="30"/>
  <c r="F27" i="22"/>
  <c r="B84" i="30" s="1"/>
  <c r="B87" i="30"/>
  <c r="B22" i="30"/>
  <c r="B62" i="30" s="1"/>
  <c r="B108" i="30"/>
  <c r="C108" i="30" s="1"/>
  <c r="B118" i="30"/>
  <c r="B139" i="30"/>
  <c r="F10" i="22"/>
  <c r="F15" i="22"/>
  <c r="G11" i="20"/>
  <c r="F20" i="22"/>
  <c r="F21" i="22"/>
  <c r="B135" i="30"/>
  <c r="B136" i="30"/>
  <c r="B137" i="30"/>
  <c r="B133" i="30" s="1"/>
  <c r="B7" i="33" s="1"/>
  <c r="B138" i="30"/>
  <c r="B114" i="30"/>
  <c r="B113" i="30" s="1"/>
  <c r="B111" i="30"/>
  <c r="B110" i="30" s="1"/>
  <c r="B168" i="30" s="1"/>
  <c r="B112" i="30"/>
  <c r="D3" i="31"/>
  <c r="B5" i="32"/>
  <c r="B17" i="32" s="1"/>
  <c r="N4" i="5"/>
  <c r="O34" i="5" s="1"/>
  <c r="A24" i="39"/>
  <c r="B17" i="37"/>
  <c r="B19" i="37"/>
  <c r="F81" i="29"/>
  <c r="K81" i="29"/>
  <c r="G118" i="30" s="1"/>
  <c r="F83" i="29"/>
  <c r="F4" i="46"/>
  <c r="F7" i="46"/>
  <c r="F9" i="46"/>
  <c r="F11" i="46"/>
  <c r="E4" i="46"/>
  <c r="E9" i="46"/>
  <c r="E11" i="46"/>
  <c r="B71" i="30"/>
  <c r="C71" i="30"/>
  <c r="C81" i="30"/>
  <c r="D71" i="30"/>
  <c r="D81" i="30"/>
  <c r="E71" i="30"/>
  <c r="E81" i="30"/>
  <c r="C175" i="29"/>
  <c r="C6" i="33"/>
  <c r="B24" i="38"/>
  <c r="C47" i="38"/>
  <c r="D47" i="38" s="1"/>
  <c r="B27" i="38"/>
  <c r="B51" i="38" s="1"/>
  <c r="B31" i="38"/>
  <c r="B52" i="38" s="1"/>
  <c r="D6" i="33"/>
  <c r="E6" i="33"/>
  <c r="F71" i="30"/>
  <c r="F81" i="30"/>
  <c r="F6" i="33"/>
  <c r="F99" i="29"/>
  <c r="F100" i="29" s="1"/>
  <c r="F105" i="29"/>
  <c r="F106" i="29" s="1"/>
  <c r="F112" i="29"/>
  <c r="B153" i="29"/>
  <c r="C157" i="29"/>
  <c r="B162" i="29"/>
  <c r="C162" i="29" s="1"/>
  <c r="C168" i="29" s="1"/>
  <c r="C166" i="29"/>
  <c r="C112" i="29"/>
  <c r="D112" i="29"/>
  <c r="E112" i="29"/>
  <c r="C105" i="29"/>
  <c r="C106" i="29" s="1"/>
  <c r="D105" i="29"/>
  <c r="D106" i="29"/>
  <c r="E105" i="29"/>
  <c r="E106" i="29" s="1"/>
  <c r="B107" i="29" s="1"/>
  <c r="B123" i="29" s="1"/>
  <c r="C99" i="29"/>
  <c r="D99" i="29"/>
  <c r="E99" i="29"/>
  <c r="G64" i="29"/>
  <c r="G58" i="29"/>
  <c r="H62" i="29"/>
  <c r="I62" i="29" s="1"/>
  <c r="J62" i="29" s="1"/>
  <c r="K62" i="29"/>
  <c r="H65" i="29"/>
  <c r="I65" i="29" s="1"/>
  <c r="J65" i="29" s="1"/>
  <c r="H66" i="29"/>
  <c r="H67" i="29"/>
  <c r="H68" i="29"/>
  <c r="H59" i="29"/>
  <c r="I59" i="29" s="1"/>
  <c r="I58" i="29" s="1"/>
  <c r="J66" i="29"/>
  <c r="K66" i="29"/>
  <c r="J67" i="29"/>
  <c r="K67" i="29" s="1"/>
  <c r="J68" i="29"/>
  <c r="K68" i="29" s="1"/>
  <c r="B43" i="31"/>
  <c r="B42" i="31"/>
  <c r="B41" i="31"/>
  <c r="B40" i="31"/>
  <c r="B39" i="31"/>
  <c r="B38" i="31"/>
  <c r="B37" i="31"/>
  <c r="B36" i="31"/>
  <c r="C24" i="31"/>
  <c r="D28" i="31" s="1"/>
  <c r="D29" i="31"/>
  <c r="B47" i="38"/>
  <c r="C7" i="29"/>
  <c r="C36" i="29" s="1"/>
  <c r="B4" i="46"/>
  <c r="B6" i="46" s="1"/>
  <c r="B7" i="46"/>
  <c r="B9" i="46"/>
  <c r="B11" i="46"/>
  <c r="D7" i="29"/>
  <c r="D67" i="29" s="1"/>
  <c r="E7" i="29"/>
  <c r="E6" i="28"/>
  <c r="D6" i="28"/>
  <c r="C6" i="28"/>
  <c r="B6" i="28"/>
  <c r="H12" i="25"/>
  <c r="G12" i="25"/>
  <c r="F12" i="25"/>
  <c r="E12" i="25"/>
  <c r="D12" i="25"/>
  <c r="D4" i="46"/>
  <c r="D9" i="46"/>
  <c r="D11" i="46"/>
  <c r="C4" i="46"/>
  <c r="C9" i="46"/>
  <c r="C11" i="46"/>
  <c r="E81" i="29"/>
  <c r="E83" i="29"/>
  <c r="D81" i="29"/>
  <c r="D83" i="29"/>
  <c r="C81" i="29"/>
  <c r="C83" i="29"/>
  <c r="B81" i="29"/>
  <c r="B83" i="29"/>
  <c r="F21" i="46"/>
  <c r="E21" i="46"/>
  <c r="D21" i="46"/>
  <c r="C21" i="46"/>
  <c r="B21" i="46"/>
  <c r="D97" i="29"/>
  <c r="E98" i="29" s="1"/>
  <c r="E97" i="29"/>
  <c r="F14" i="15"/>
  <c r="E9" i="15"/>
  <c r="E8" i="15"/>
  <c r="E7" i="15"/>
  <c r="E6" i="15"/>
  <c r="E5" i="15"/>
  <c r="F13" i="15"/>
  <c r="E14" i="15" s="1"/>
  <c r="F12" i="15"/>
  <c r="F11" i="15"/>
  <c r="N32" i="5"/>
  <c r="A5" i="45"/>
  <c r="C5" i="45"/>
  <c r="A6" i="45"/>
  <c r="B6" i="45"/>
  <c r="C6" i="45"/>
  <c r="A7" i="45"/>
  <c r="C7" i="45"/>
  <c r="A8" i="45"/>
  <c r="C8" i="45"/>
  <c r="A9" i="45"/>
  <c r="C9" i="45"/>
  <c r="A10" i="45"/>
  <c r="C10" i="45"/>
  <c r="A11" i="45"/>
  <c r="C11" i="45"/>
  <c r="A12" i="45"/>
  <c r="C12" i="45"/>
  <c r="A13" i="45"/>
  <c r="C13" i="45"/>
  <c r="A14" i="45"/>
  <c r="C14" i="45"/>
  <c r="L32" i="5"/>
  <c r="J32" i="5"/>
  <c r="C6" i="10"/>
  <c r="C7" i="10"/>
  <c r="C8" i="10"/>
  <c r="C9" i="10"/>
  <c r="C10" i="10"/>
  <c r="C11" i="10"/>
  <c r="C12" i="10"/>
  <c r="C13" i="10"/>
  <c r="C5" i="10"/>
  <c r="A13" i="10"/>
  <c r="A12" i="10"/>
  <c r="A11" i="10"/>
  <c r="A10" i="10"/>
  <c r="A9" i="10"/>
  <c r="A8" i="10"/>
  <c r="A7" i="10"/>
  <c r="A6" i="10"/>
  <c r="A5" i="10"/>
  <c r="A5" i="44"/>
  <c r="A6" i="44"/>
  <c r="A7" i="44"/>
  <c r="A8" i="44"/>
  <c r="A9" i="44"/>
  <c r="A10" i="44"/>
  <c r="A11" i="44"/>
  <c r="A12" i="44"/>
  <c r="A13" i="44"/>
  <c r="A14" i="44"/>
  <c r="C11" i="5"/>
  <c r="C12" i="5"/>
  <c r="C13" i="5"/>
  <c r="E6" i="43"/>
  <c r="F6" i="43"/>
  <c r="G6" i="43"/>
  <c r="H6" i="43"/>
  <c r="I6" i="43"/>
  <c r="J6" i="43"/>
  <c r="K6" i="43"/>
  <c r="M6" i="43"/>
  <c r="E7" i="43"/>
  <c r="F7" i="43"/>
  <c r="G7" i="43"/>
  <c r="H7" i="43"/>
  <c r="I7" i="43"/>
  <c r="J7" i="43"/>
  <c r="K7" i="43"/>
  <c r="M7" i="43"/>
  <c r="E8" i="43"/>
  <c r="F8" i="43"/>
  <c r="G8" i="43"/>
  <c r="H8" i="43"/>
  <c r="I8" i="43"/>
  <c r="J8" i="43"/>
  <c r="K8" i="43"/>
  <c r="M8" i="43"/>
  <c r="E9" i="43"/>
  <c r="F9" i="43"/>
  <c r="G9" i="43"/>
  <c r="H9" i="43"/>
  <c r="I9" i="43"/>
  <c r="J9" i="43"/>
  <c r="K9" i="43"/>
  <c r="M9" i="43"/>
  <c r="E10" i="43"/>
  <c r="F10" i="43"/>
  <c r="G10" i="43"/>
  <c r="H10" i="43"/>
  <c r="I10" i="43"/>
  <c r="J10" i="43"/>
  <c r="K10" i="43"/>
  <c r="M10" i="43"/>
  <c r="E11" i="43"/>
  <c r="F11" i="43"/>
  <c r="G11" i="43"/>
  <c r="H11" i="43"/>
  <c r="I11" i="43"/>
  <c r="J11" i="43"/>
  <c r="K11" i="43"/>
  <c r="M11" i="43"/>
  <c r="E12" i="43"/>
  <c r="F12" i="43"/>
  <c r="G12" i="43"/>
  <c r="H12" i="43"/>
  <c r="I12" i="43"/>
  <c r="J12" i="43"/>
  <c r="K12" i="43"/>
  <c r="M12" i="43"/>
  <c r="E13" i="43"/>
  <c r="F13" i="43"/>
  <c r="G13" i="43"/>
  <c r="H13" i="43"/>
  <c r="I13" i="43"/>
  <c r="J13" i="43"/>
  <c r="K13" i="43"/>
  <c r="M13" i="43"/>
  <c r="E14" i="43"/>
  <c r="F14" i="43"/>
  <c r="G14" i="43"/>
  <c r="H14" i="43"/>
  <c r="I14" i="43"/>
  <c r="J14" i="43"/>
  <c r="K14" i="43"/>
  <c r="M14" i="43"/>
  <c r="E15" i="43"/>
  <c r="F15" i="43"/>
  <c r="G15" i="43"/>
  <c r="H15" i="43"/>
  <c r="I15" i="43"/>
  <c r="J15" i="43"/>
  <c r="K15" i="43"/>
  <c r="M15" i="43"/>
  <c r="E16" i="43"/>
  <c r="F16" i="43"/>
  <c r="G16" i="43"/>
  <c r="H16" i="43"/>
  <c r="I16" i="43"/>
  <c r="J16" i="43"/>
  <c r="K16" i="43"/>
  <c r="M16" i="43"/>
  <c r="E17" i="43"/>
  <c r="F17" i="43"/>
  <c r="G17" i="43"/>
  <c r="H17" i="43"/>
  <c r="I17" i="43"/>
  <c r="J17" i="43"/>
  <c r="K17" i="43"/>
  <c r="M17" i="43"/>
  <c r="E18" i="43"/>
  <c r="F18" i="43"/>
  <c r="G18" i="43"/>
  <c r="H18" i="43"/>
  <c r="I18" i="43"/>
  <c r="J18" i="43"/>
  <c r="K18" i="43"/>
  <c r="M18" i="43"/>
  <c r="E19" i="43"/>
  <c r="F19" i="43"/>
  <c r="G19" i="43"/>
  <c r="H19" i="43"/>
  <c r="I19" i="43"/>
  <c r="J19" i="43"/>
  <c r="K19" i="43"/>
  <c r="M19" i="43"/>
  <c r="E20" i="43"/>
  <c r="F20" i="43"/>
  <c r="G20" i="43"/>
  <c r="H20" i="43"/>
  <c r="I20" i="43"/>
  <c r="J20" i="43"/>
  <c r="K20" i="43"/>
  <c r="M20" i="43"/>
  <c r="E21" i="43"/>
  <c r="F21" i="43"/>
  <c r="G21" i="43"/>
  <c r="H21" i="43"/>
  <c r="I21" i="43"/>
  <c r="J21" i="43"/>
  <c r="K21" i="43"/>
  <c r="M21" i="43"/>
  <c r="D22" i="43"/>
  <c r="D24" i="43"/>
  <c r="E9" i="21"/>
  <c r="D9" i="21"/>
  <c r="F9" i="21"/>
  <c r="D23" i="29"/>
  <c r="D47" i="29" s="1"/>
  <c r="G9" i="21"/>
  <c r="E23" i="29"/>
  <c r="H9" i="21"/>
  <c r="B14" i="30" s="1"/>
  <c r="F23" i="29"/>
  <c r="F32" i="29" s="1"/>
  <c r="F30" i="24"/>
  <c r="E30" i="24"/>
  <c r="D30" i="24"/>
  <c r="C30" i="24"/>
  <c r="F18" i="24"/>
  <c r="E18" i="24"/>
  <c r="D18" i="24"/>
  <c r="C18" i="24"/>
  <c r="F15" i="24"/>
  <c r="E15" i="24"/>
  <c r="D15" i="24"/>
  <c r="C15" i="24"/>
  <c r="F14" i="24"/>
  <c r="E14" i="24"/>
  <c r="D14" i="24"/>
  <c r="C14" i="24"/>
  <c r="F10" i="24"/>
  <c r="E10" i="24"/>
  <c r="D10" i="24"/>
  <c r="C10" i="24"/>
  <c r="F9" i="24"/>
  <c r="E9" i="24"/>
  <c r="D9" i="24"/>
  <c r="C9" i="24"/>
  <c r="F8" i="24"/>
  <c r="E8" i="24"/>
  <c r="D8" i="24"/>
  <c r="C8" i="24"/>
  <c r="F6" i="24"/>
  <c r="E6" i="24"/>
  <c r="D6" i="24"/>
  <c r="C6" i="24"/>
  <c r="H11" i="25"/>
  <c r="G11" i="25"/>
  <c r="F11" i="25"/>
  <c r="E11" i="25"/>
  <c r="D11" i="25"/>
  <c r="H16" i="25"/>
  <c r="G16" i="25"/>
  <c r="F16" i="25"/>
  <c r="E16" i="25"/>
  <c r="D16" i="25"/>
  <c r="H9" i="25"/>
  <c r="G9" i="25"/>
  <c r="F9" i="25"/>
  <c r="E9" i="25"/>
  <c r="D9" i="25"/>
  <c r="H10" i="25"/>
  <c r="G10" i="25"/>
  <c r="F10" i="25"/>
  <c r="E10" i="25"/>
  <c r="D10" i="25"/>
  <c r="H7" i="25"/>
  <c r="G7" i="25"/>
  <c r="F7" i="25"/>
  <c r="E7" i="25"/>
  <c r="D7" i="25"/>
  <c r="H6" i="25"/>
  <c r="G6" i="25"/>
  <c r="F6" i="25"/>
  <c r="E6" i="25"/>
  <c r="D6" i="25"/>
  <c r="H4" i="25"/>
  <c r="G4" i="25"/>
  <c r="F4" i="25"/>
  <c r="E4" i="25"/>
  <c r="D4" i="25"/>
  <c r="G11" i="26"/>
  <c r="F11" i="26"/>
  <c r="E11" i="26"/>
  <c r="D11" i="26"/>
  <c r="G14" i="26"/>
  <c r="F14" i="26"/>
  <c r="E14" i="26"/>
  <c r="D14" i="26"/>
  <c r="G9" i="26"/>
  <c r="F9" i="26"/>
  <c r="E9" i="26"/>
  <c r="D9" i="26"/>
  <c r="G10" i="26"/>
  <c r="F10" i="26"/>
  <c r="E10" i="26"/>
  <c r="D10" i="26"/>
  <c r="G7" i="26"/>
  <c r="F7" i="26"/>
  <c r="E7" i="26"/>
  <c r="D7" i="26"/>
  <c r="G6" i="26"/>
  <c r="F6" i="26"/>
  <c r="E6" i="26"/>
  <c r="D6" i="26"/>
  <c r="G4" i="26"/>
  <c r="F4" i="26"/>
  <c r="E4" i="26"/>
  <c r="D4" i="26"/>
  <c r="E20" i="27"/>
  <c r="B97" i="29"/>
  <c r="C97" i="29"/>
  <c r="E111" i="29"/>
  <c r="E139" i="29"/>
  <c r="B132" i="29"/>
  <c r="E103" i="29"/>
  <c r="C109" i="29"/>
  <c r="D109" i="29"/>
  <c r="E109" i="29"/>
  <c r="B109" i="29"/>
  <c r="C103" i="29"/>
  <c r="D103" i="29"/>
  <c r="B103" i="29"/>
  <c r="C23" i="28"/>
  <c r="D23" i="28"/>
  <c r="E23" i="28"/>
  <c r="B124" i="30"/>
  <c r="C124" i="30"/>
  <c r="D124" i="30" s="1"/>
  <c r="E124" i="30" s="1"/>
  <c r="F124" i="30" s="1"/>
  <c r="G124" i="30" s="1"/>
  <c r="B107" i="30"/>
  <c r="C107" i="30" s="1"/>
  <c r="D15" i="31"/>
  <c r="D19" i="31"/>
  <c r="B10" i="37"/>
  <c r="B11" i="37" s="1"/>
  <c r="B21" i="37" s="1"/>
  <c r="C26" i="36"/>
  <c r="B5" i="36"/>
  <c r="C33" i="36"/>
  <c r="B6" i="36"/>
  <c r="D6" i="36" s="1"/>
  <c r="C40" i="36"/>
  <c r="B7" i="36" s="1"/>
  <c r="D7" i="36"/>
  <c r="C47" i="36"/>
  <c r="B8" i="36" s="1"/>
  <c r="D8" i="36" s="1"/>
  <c r="C54" i="36"/>
  <c r="B9" i="36"/>
  <c r="C61" i="36"/>
  <c r="B10" i="36" s="1"/>
  <c r="D10" i="36" s="1"/>
  <c r="C69" i="36"/>
  <c r="B11" i="36" s="1"/>
  <c r="D11" i="36" s="1"/>
  <c r="D83" i="36"/>
  <c r="H7" i="36"/>
  <c r="D73" i="36"/>
  <c r="D22" i="36"/>
  <c r="E22" i="36"/>
  <c r="E26" i="36" s="1"/>
  <c r="D23" i="36"/>
  <c r="E23" i="36"/>
  <c r="D24" i="36"/>
  <c r="E24" i="36"/>
  <c r="D25" i="36"/>
  <c r="E25" i="36"/>
  <c r="D29" i="36"/>
  <c r="E29" i="36" s="1"/>
  <c r="E33" i="36" s="1"/>
  <c r="D30" i="36"/>
  <c r="E30" i="36"/>
  <c r="D31" i="36"/>
  <c r="E31" i="36" s="1"/>
  <c r="D32" i="36"/>
  <c r="E32" i="36"/>
  <c r="D36" i="36"/>
  <c r="E36" i="36" s="1"/>
  <c r="D37" i="36"/>
  <c r="E37" i="36"/>
  <c r="E40" i="36" s="1"/>
  <c r="D38" i="36"/>
  <c r="E38" i="36" s="1"/>
  <c r="D39" i="36"/>
  <c r="E39" i="36"/>
  <c r="D43" i="36"/>
  <c r="E43" i="36" s="1"/>
  <c r="E47" i="36" s="1"/>
  <c r="D44" i="36"/>
  <c r="E44" i="36"/>
  <c r="D45" i="36"/>
  <c r="E45" i="36" s="1"/>
  <c r="D46" i="36"/>
  <c r="E46" i="36"/>
  <c r="D50" i="36"/>
  <c r="E50" i="36" s="1"/>
  <c r="D51" i="36"/>
  <c r="E51" i="36"/>
  <c r="E54" i="36" s="1"/>
  <c r="D52" i="36"/>
  <c r="E52" i="36" s="1"/>
  <c r="D53" i="36"/>
  <c r="E53" i="36"/>
  <c r="D57" i="36"/>
  <c r="E57" i="36" s="1"/>
  <c r="E61" i="36" s="1"/>
  <c r="D58" i="36"/>
  <c r="E58" i="36"/>
  <c r="D59" i="36"/>
  <c r="E59" i="36" s="1"/>
  <c r="D60" i="36"/>
  <c r="E60" i="36"/>
  <c r="D65" i="36"/>
  <c r="E65" i="36" s="1"/>
  <c r="D66" i="36"/>
  <c r="E66" i="36"/>
  <c r="E69" i="36" s="1"/>
  <c r="D67" i="36"/>
  <c r="E67" i="36" s="1"/>
  <c r="D68" i="36"/>
  <c r="E68" i="36"/>
  <c r="C25" i="31"/>
  <c r="D31" i="31" s="1"/>
  <c r="D32" i="31" s="1"/>
  <c r="E47" i="31"/>
  <c r="B15" i="32"/>
  <c r="C31" i="35"/>
  <c r="A14" i="35"/>
  <c r="A25" i="35" s="1"/>
  <c r="A8" i="35"/>
  <c r="A19" i="35" s="1"/>
  <c r="G17" i="39"/>
  <c r="D44" i="31"/>
  <c r="C6" i="5"/>
  <c r="C7" i="5"/>
  <c r="C8" i="5"/>
  <c r="C9" i="5"/>
  <c r="C10" i="5"/>
  <c r="C5" i="5"/>
  <c r="E10" i="15"/>
  <c r="B8" i="46"/>
  <c r="B20" i="27"/>
  <c r="G5" i="20"/>
  <c r="C29" i="22"/>
  <c r="C28" i="22"/>
  <c r="E11" i="24"/>
  <c r="F12" i="22"/>
  <c r="C25" i="24"/>
  <c r="E19" i="27"/>
  <c r="F8" i="46"/>
  <c r="C19" i="27"/>
  <c r="E12" i="22"/>
  <c r="D16" i="24"/>
  <c r="E7" i="46"/>
  <c r="F13" i="24"/>
  <c r="B82" i="30"/>
  <c r="D12" i="22"/>
  <c r="F14" i="22"/>
  <c r="B53" i="30" s="1"/>
  <c r="F19" i="27"/>
  <c r="F11" i="24"/>
  <c r="D5" i="20"/>
  <c r="C31" i="29"/>
  <c r="F66" i="29"/>
  <c r="H81" i="29"/>
  <c r="D118" i="30" s="1"/>
  <c r="F59" i="29"/>
  <c r="F65" i="29"/>
  <c r="F67" i="29"/>
  <c r="D68" i="29"/>
  <c r="F60" i="29"/>
  <c r="B26" i="30"/>
  <c r="B67" i="30"/>
  <c r="D66" i="29"/>
  <c r="G8" i="25"/>
  <c r="E10" i="46"/>
  <c r="C21" i="27"/>
  <c r="C3" i="23"/>
  <c r="D3" i="23"/>
  <c r="E3" i="23"/>
  <c r="F3" i="23"/>
  <c r="G3" i="23"/>
  <c r="C20" i="23"/>
  <c r="D20" i="23"/>
  <c r="E20" i="23"/>
  <c r="F20" i="23"/>
  <c r="G20" i="23"/>
  <c r="C3" i="24"/>
  <c r="D3" i="24"/>
  <c r="E3" i="24"/>
  <c r="F3" i="24"/>
  <c r="C20" i="24"/>
  <c r="D20" i="24"/>
  <c r="E20" i="24"/>
  <c r="F20" i="24"/>
  <c r="D3" i="25"/>
  <c r="E3" i="25"/>
  <c r="F3" i="25"/>
  <c r="G3" i="25"/>
  <c r="H3" i="25"/>
  <c r="D3" i="26"/>
  <c r="E3" i="26"/>
  <c r="F3" i="26"/>
  <c r="G3" i="26"/>
  <c r="B3" i="27"/>
  <c r="C3" i="27"/>
  <c r="D3" i="27"/>
  <c r="E3" i="27"/>
  <c r="F3" i="27"/>
  <c r="B2" i="46"/>
  <c r="C2" i="46"/>
  <c r="D2" i="46"/>
  <c r="E2" i="46"/>
  <c r="F2" i="46"/>
  <c r="B4" i="29"/>
  <c r="B10" i="30"/>
  <c r="B4" i="33" s="1"/>
  <c r="B21" i="30"/>
  <c r="C21" i="30" s="1"/>
  <c r="D21" i="30" s="1"/>
  <c r="E21" i="30" s="1"/>
  <c r="F21" i="30" s="1"/>
  <c r="G21" i="30" s="1"/>
  <c r="B25" i="30"/>
  <c r="C25" i="30" s="1"/>
  <c r="D25" i="30" s="1"/>
  <c r="E25" i="30" s="1"/>
  <c r="F25" i="30" s="1"/>
  <c r="G25" i="30" s="1"/>
  <c r="B32" i="30"/>
  <c r="C32" i="30" s="1"/>
  <c r="D32" i="30" s="1"/>
  <c r="E32" i="30" s="1"/>
  <c r="F32" i="30" s="1"/>
  <c r="G32" i="30" s="1"/>
  <c r="B38" i="30"/>
  <c r="C38" i="30" s="1"/>
  <c r="D38" i="30" s="1"/>
  <c r="E38" i="30" s="1"/>
  <c r="F38" i="30" s="1"/>
  <c r="G38" i="30" s="1"/>
  <c r="B42" i="30"/>
  <c r="C42" i="30" s="1"/>
  <c r="D42" i="30" s="1"/>
  <c r="E42" i="30" s="1"/>
  <c r="F42" i="30" s="1"/>
  <c r="G42" i="30" s="1"/>
  <c r="B61" i="30"/>
  <c r="C61" i="30" s="1"/>
  <c r="D61" i="30" s="1"/>
  <c r="E61" i="30" s="1"/>
  <c r="F61" i="30" s="1"/>
  <c r="G61" i="30" s="1"/>
  <c r="B65" i="30"/>
  <c r="C65" i="30" s="1"/>
  <c r="D65" i="30" s="1"/>
  <c r="E65" i="30" s="1"/>
  <c r="F65" i="30" s="1"/>
  <c r="G65" i="30" s="1"/>
  <c r="B80" i="30"/>
  <c r="C80" i="30" s="1"/>
  <c r="D80" i="30" s="1"/>
  <c r="E80" i="30" s="1"/>
  <c r="F80" i="30" s="1"/>
  <c r="G80" i="30" s="1"/>
  <c r="B91" i="30"/>
  <c r="C91" i="30" s="1"/>
  <c r="D91" i="30" s="1"/>
  <c r="E91" i="30" s="1"/>
  <c r="F91" i="30" s="1"/>
  <c r="G91" i="30" s="1"/>
  <c r="B96" i="30"/>
  <c r="C96" i="30" s="1"/>
  <c r="D96" i="30" s="1"/>
  <c r="E96" i="30" s="1"/>
  <c r="F96" i="30" s="1"/>
  <c r="G96" i="30" s="1"/>
  <c r="B120" i="30"/>
  <c r="C120" i="30" s="1"/>
  <c r="D120" i="30" s="1"/>
  <c r="E120" i="30" s="1"/>
  <c r="F120" i="30" s="1"/>
  <c r="G120" i="30" s="1"/>
  <c r="D3" i="20"/>
  <c r="E3" i="20"/>
  <c r="F3" i="20"/>
  <c r="G3" i="20"/>
  <c r="D4" i="21"/>
  <c r="B4" i="39" s="1"/>
  <c r="E4" i="21"/>
  <c r="C4" i="39" s="1"/>
  <c r="F4" i="21"/>
  <c r="D4" i="39" s="1"/>
  <c r="G4" i="21"/>
  <c r="E4" i="39" s="1"/>
  <c r="H4" i="21"/>
  <c r="F4" i="39" s="1"/>
  <c r="C3" i="22"/>
  <c r="D3" i="22"/>
  <c r="E3" i="22"/>
  <c r="F3" i="22"/>
  <c r="E47" i="29"/>
  <c r="E48" i="29" s="1"/>
  <c r="C153" i="29"/>
  <c r="C158" i="29" s="1"/>
  <c r="C160" i="29" s="1"/>
  <c r="C99" i="30" s="1"/>
  <c r="B159" i="29"/>
  <c r="C68" i="29"/>
  <c r="C59" i="29"/>
  <c r="C66" i="29"/>
  <c r="C65" i="29"/>
  <c r="K83" i="29"/>
  <c r="G139" i="30" s="1"/>
  <c r="I83" i="29"/>
  <c r="E139" i="30" s="1"/>
  <c r="H83" i="29"/>
  <c r="D139" i="30" s="1"/>
  <c r="G83" i="29"/>
  <c r="C139" i="30" s="1"/>
  <c r="J83" i="29"/>
  <c r="F139" i="30" s="1"/>
  <c r="D38" i="29"/>
  <c r="E39" i="29" s="1"/>
  <c r="E5" i="29"/>
  <c r="O27" i="5"/>
  <c r="Q27" i="5" s="1"/>
  <c r="O23" i="5"/>
  <c r="O19" i="5"/>
  <c r="O15" i="5"/>
  <c r="O11" i="5"/>
  <c r="O7" i="5"/>
  <c r="K29" i="5"/>
  <c r="B15" i="10"/>
  <c r="D15" i="10"/>
  <c r="Q5" i="5"/>
  <c r="K13" i="5"/>
  <c r="K9" i="5"/>
  <c r="I16" i="5"/>
  <c r="B23" i="10"/>
  <c r="D23" i="10" s="1"/>
  <c r="O25" i="5"/>
  <c r="Q25" i="5" s="1"/>
  <c r="M14" i="5"/>
  <c r="O20" i="5"/>
  <c r="K5" i="5"/>
  <c r="K28" i="5"/>
  <c r="K24" i="5"/>
  <c r="K8" i="5"/>
  <c r="M28" i="5"/>
  <c r="G10" i="15"/>
  <c r="E13" i="15"/>
  <c r="E12" i="15"/>
  <c r="E11" i="15"/>
  <c r="S12" i="5"/>
  <c r="S8" i="5"/>
  <c r="S17" i="5"/>
  <c r="B17" i="10"/>
  <c r="D17" i="10" s="1"/>
  <c r="B23" i="45"/>
  <c r="B15" i="45"/>
  <c r="P19" i="5"/>
  <c r="P15" i="5"/>
  <c r="S15" i="5" s="1"/>
  <c r="B13" i="45"/>
  <c r="I17" i="5"/>
  <c r="B17" i="44"/>
  <c r="B20" i="10"/>
  <c r="D20" i="10"/>
  <c r="B16" i="10"/>
  <c r="D16" i="10" s="1"/>
  <c r="B18" i="45"/>
  <c r="K30" i="5"/>
  <c r="K26" i="5"/>
  <c r="K10" i="5"/>
  <c r="K6" i="5"/>
  <c r="P22" i="5"/>
  <c r="S22" i="5"/>
  <c r="B12" i="15"/>
  <c r="D12" i="15" s="1"/>
  <c r="P14" i="5"/>
  <c r="Q15" i="5"/>
  <c r="P10" i="5"/>
  <c r="P6" i="5"/>
  <c r="B17" i="45"/>
  <c r="S5" i="5"/>
  <c r="B23" i="44"/>
  <c r="B15" i="44"/>
  <c r="B22" i="10"/>
  <c r="D22" i="10" s="1"/>
  <c r="B18" i="10"/>
  <c r="D18" i="10" s="1"/>
  <c r="B20" i="45"/>
  <c r="B16" i="45"/>
  <c r="P16" i="5"/>
  <c r="Q17" i="5" s="1"/>
  <c r="B14" i="45"/>
  <c r="B11" i="10"/>
  <c r="D11" i="10" s="1"/>
  <c r="B14" i="44"/>
  <c r="B5" i="10"/>
  <c r="D5" i="10" s="1"/>
  <c r="B7" i="44"/>
  <c r="I6" i="5"/>
  <c r="B7" i="10"/>
  <c r="D7" i="10" s="1"/>
  <c r="B11" i="44"/>
  <c r="B13" i="10"/>
  <c r="D13" i="10" s="1"/>
  <c r="I12" i="5"/>
  <c r="B13" i="44"/>
  <c r="B9" i="45"/>
  <c r="B9" i="10"/>
  <c r="D9" i="10" s="1"/>
  <c r="B9" i="44"/>
  <c r="B6" i="44"/>
  <c r="I5" i="5"/>
  <c r="J59" i="29"/>
  <c r="C156" i="29"/>
  <c r="C174" i="29"/>
  <c r="D175" i="29" s="1"/>
  <c r="C6" i="29"/>
  <c r="E30" i="29"/>
  <c r="I81" i="29"/>
  <c r="E118" i="30" s="1"/>
  <c r="B95" i="29"/>
  <c r="E30" i="28"/>
  <c r="F47" i="29"/>
  <c r="F48" i="29" s="1"/>
  <c r="D60" i="29"/>
  <c r="D59" i="29"/>
  <c r="D65" i="29"/>
  <c r="D5" i="29"/>
  <c r="D30" i="29"/>
  <c r="C67" i="29"/>
  <c r="C5" i="29"/>
  <c r="C33" i="29"/>
  <c r="C34" i="29"/>
  <c r="C60" i="29"/>
  <c r="C93" i="29"/>
  <c r="B59" i="29"/>
  <c r="B60" i="29"/>
  <c r="B66" i="29"/>
  <c r="B68" i="29"/>
  <c r="D42" i="29"/>
  <c r="D43" i="29" s="1"/>
  <c r="D31" i="29"/>
  <c r="B35" i="29"/>
  <c r="D36" i="29"/>
  <c r="D35" i="29"/>
  <c r="E33" i="29"/>
  <c r="E65" i="29"/>
  <c r="E59" i="29"/>
  <c r="D174" i="29"/>
  <c r="B31" i="29"/>
  <c r="B33" i="29"/>
  <c r="F62" i="29"/>
  <c r="B57" i="29"/>
  <c r="B77" i="29" s="1"/>
  <c r="B5" i="15"/>
  <c r="Q16" i="5"/>
  <c r="E34" i="29"/>
  <c r="E41" i="31"/>
  <c r="C82" i="29"/>
  <c r="C64" i="29" s="1"/>
  <c r="C35" i="29"/>
  <c r="I22" i="5"/>
  <c r="B18" i="44"/>
  <c r="D21" i="27"/>
  <c r="B19" i="10"/>
  <c r="D19" i="10" s="1"/>
  <c r="B16" i="36"/>
  <c r="C16" i="36" s="1"/>
  <c r="B17" i="36"/>
  <c r="C17" i="36" s="1"/>
  <c r="B23" i="29"/>
  <c r="B47" i="29" s="1"/>
  <c r="D8" i="25"/>
  <c r="D8" i="26"/>
  <c r="M22" i="43"/>
  <c r="D25" i="43"/>
  <c r="D26" i="43"/>
  <c r="E39" i="31"/>
  <c r="E37" i="31"/>
  <c r="E43" i="31"/>
  <c r="D157" i="29"/>
  <c r="D156" i="29"/>
  <c r="E156" i="29" s="1"/>
  <c r="F156" i="29" s="1"/>
  <c r="G157" i="29" s="1"/>
  <c r="G159" i="29" s="1"/>
  <c r="B51" i="30"/>
  <c r="J51" i="30" s="1"/>
  <c r="H8" i="25"/>
  <c r="G8" i="26"/>
  <c r="E8" i="26"/>
  <c r="F8" i="25"/>
  <c r="G5" i="25"/>
  <c r="I15" i="5"/>
  <c r="F5" i="26"/>
  <c r="B22" i="44"/>
  <c r="F157" i="29"/>
  <c r="F158" i="29" s="1"/>
  <c r="E157" i="29"/>
  <c r="E158" i="29" s="1"/>
  <c r="B51" i="29"/>
  <c r="B52" i="29" s="1"/>
  <c r="B193" i="29"/>
  <c r="B194" i="29" s="1"/>
  <c r="E159" i="29"/>
  <c r="E25" i="24"/>
  <c r="F25" i="24"/>
  <c r="F35" i="20"/>
  <c r="M29" i="5"/>
  <c r="M30" i="5"/>
  <c r="Q29" i="5"/>
  <c r="O28" i="5"/>
  <c r="Q28" i="5" s="1"/>
  <c r="K21" i="5"/>
  <c r="M26" i="5"/>
  <c r="M25" i="5"/>
  <c r="E42" i="29"/>
  <c r="E51" i="29"/>
  <c r="E31" i="29"/>
  <c r="K18" i="5"/>
  <c r="K17" i="5"/>
  <c r="M7" i="5"/>
  <c r="M6" i="5"/>
  <c r="Q6" i="5"/>
  <c r="S6" i="5"/>
  <c r="T6" i="5" s="1"/>
  <c r="D177" i="29"/>
  <c r="D176" i="29"/>
  <c r="S19" i="5"/>
  <c r="D9" i="36"/>
  <c r="F113" i="29"/>
  <c r="B186" i="29"/>
  <c r="C159" i="29"/>
  <c r="D5" i="15"/>
  <c r="M10" i="5"/>
  <c r="M9" i="5"/>
  <c r="S10" i="5"/>
  <c r="D29" i="22"/>
  <c r="D28" i="22" s="1"/>
  <c r="F28" i="20"/>
  <c r="G28" i="20" s="1"/>
  <c r="C39" i="20"/>
  <c r="C29" i="24"/>
  <c r="M17" i="5"/>
  <c r="F30" i="29"/>
  <c r="I19" i="5"/>
  <c r="B20" i="44"/>
  <c r="I20" i="5"/>
  <c r="D19" i="27"/>
  <c r="B16" i="32"/>
  <c r="F8" i="26"/>
  <c r="E8" i="46"/>
  <c r="E16" i="24"/>
  <c r="D5" i="46"/>
  <c r="D6" i="46" s="1"/>
  <c r="C7" i="46"/>
  <c r="C14" i="22"/>
  <c r="E22" i="21"/>
  <c r="B5" i="45"/>
  <c r="B5" i="44"/>
  <c r="K34" i="5"/>
  <c r="C13" i="22"/>
  <c r="B9" i="15"/>
  <c r="D9" i="15" s="1"/>
  <c r="E29" i="22"/>
  <c r="E28" i="22" s="1"/>
  <c r="E43" i="29"/>
  <c r="B169" i="30"/>
  <c r="B130" i="30"/>
  <c r="B7" i="38"/>
  <c r="B21" i="38" s="1"/>
  <c r="B39" i="38" s="1"/>
  <c r="C50" i="38" s="1"/>
  <c r="B100" i="30"/>
  <c r="B18" i="30"/>
  <c r="B170" i="30"/>
  <c r="D57" i="38"/>
  <c r="C62" i="38" s="1"/>
  <c r="B28" i="39"/>
  <c r="C26" i="30"/>
  <c r="D26" i="30" s="1"/>
  <c r="E26" i="30" s="1"/>
  <c r="E67" i="30" s="1"/>
  <c r="C10" i="30"/>
  <c r="C143" i="30" s="1"/>
  <c r="C22" i="30"/>
  <c r="C62" i="30" s="1"/>
  <c r="B8" i="38"/>
  <c r="B40" i="38" s="1"/>
  <c r="D107" i="30"/>
  <c r="E107" i="30"/>
  <c r="D131" i="30"/>
  <c r="C130" i="30"/>
  <c r="B143" i="30"/>
  <c r="B104" i="30"/>
  <c r="B98" i="30" s="1"/>
  <c r="B164" i="30"/>
  <c r="B160" i="30"/>
  <c r="D10" i="30"/>
  <c r="F26" i="30"/>
  <c r="G26" i="30" s="1"/>
  <c r="G67" i="30" s="1"/>
  <c r="F107" i="30"/>
  <c r="C67" i="30"/>
  <c r="B44" i="30"/>
  <c r="D16" i="47" s="1"/>
  <c r="B82" i="29"/>
  <c r="B64" i="29" s="1"/>
  <c r="B32" i="29"/>
  <c r="E174" i="29"/>
  <c r="F175" i="29" s="1"/>
  <c r="E175" i="29"/>
  <c r="B81" i="30"/>
  <c r="D32" i="29"/>
  <c r="D51" i="29"/>
  <c r="D193" i="29" s="1"/>
  <c r="D162" i="29"/>
  <c r="E162" i="29" s="1"/>
  <c r="F162" i="29" s="1"/>
  <c r="G162" i="29" s="1"/>
  <c r="F5" i="46"/>
  <c r="F6" i="46"/>
  <c r="C11" i="24"/>
  <c r="D18" i="20"/>
  <c r="C79" i="29" s="1"/>
  <c r="C62" i="29" s="1"/>
  <c r="C20" i="27"/>
  <c r="C12" i="22"/>
  <c r="C11" i="22" s="1"/>
  <c r="B78" i="29"/>
  <c r="C5" i="20"/>
  <c r="B30" i="29"/>
  <c r="M34" i="5"/>
  <c r="E18" i="20"/>
  <c r="D20" i="27"/>
  <c r="D13" i="24"/>
  <c r="C13" i="24"/>
  <c r="S14" i="5"/>
  <c r="T15" i="5" s="1"/>
  <c r="F16" i="24"/>
  <c r="F20" i="27"/>
  <c r="C24" i="22"/>
  <c r="C31" i="22" s="1"/>
  <c r="C7" i="24"/>
  <c r="D34" i="29"/>
  <c r="C9" i="22"/>
  <c r="C7" i="22"/>
  <c r="E5" i="26"/>
  <c r="D33" i="29"/>
  <c r="C5" i="24"/>
  <c r="D194" i="29"/>
  <c r="D12" i="47"/>
  <c r="F12" i="47" s="1"/>
  <c r="D79" i="29"/>
  <c r="D62" i="29" s="1"/>
  <c r="B58" i="29"/>
  <c r="E176" i="29"/>
  <c r="E177" i="29"/>
  <c r="B4" i="15"/>
  <c r="C5" i="15" s="1"/>
  <c r="F5" i="24" l="1"/>
  <c r="E20" i="46"/>
  <c r="E24" i="46" s="1"/>
  <c r="E11" i="29" s="1"/>
  <c r="E17" i="29" s="1"/>
  <c r="G14" i="25"/>
  <c r="F12" i="26"/>
  <c r="E16" i="27"/>
  <c r="F21" i="27"/>
  <c r="G5" i="26"/>
  <c r="H5" i="25"/>
  <c r="P7" i="5"/>
  <c r="I8" i="5"/>
  <c r="B8" i="44"/>
  <c r="B8" i="10"/>
  <c r="D8" i="10" s="1"/>
  <c r="B8" i="45"/>
  <c r="I7" i="5"/>
  <c r="F174" i="29"/>
  <c r="G175" i="29" s="1"/>
  <c r="G177" i="29" s="1"/>
  <c r="C16" i="27"/>
  <c r="E14" i="25"/>
  <c r="C20" i="46"/>
  <c r="C24" i="46" s="1"/>
  <c r="C11" i="29" s="1"/>
  <c r="C17" i="29" s="1"/>
  <c r="F19" i="22"/>
  <c r="E193" i="29"/>
  <c r="E194" i="29" s="1"/>
  <c r="E52" i="29"/>
  <c r="B168" i="29"/>
  <c r="C51" i="29"/>
  <c r="T5" i="5"/>
  <c r="C23" i="29"/>
  <c r="E8" i="25"/>
  <c r="E110" i="29"/>
  <c r="E113" i="29" s="1"/>
  <c r="E100" i="29"/>
  <c r="F7" i="24"/>
  <c r="D30" i="28"/>
  <c r="D31" i="28" s="1"/>
  <c r="F30" i="28"/>
  <c r="F31" i="28" s="1"/>
  <c r="C25" i="28"/>
  <c r="D25" i="28"/>
  <c r="E25" i="28"/>
  <c r="E39" i="20"/>
  <c r="D29" i="24"/>
  <c r="E29" i="24"/>
  <c r="B10" i="44"/>
  <c r="B10" i="10"/>
  <c r="D10" i="10" s="1"/>
  <c r="I10" i="5"/>
  <c r="B10" i="45"/>
  <c r="I9" i="5"/>
  <c r="K19" i="5"/>
  <c r="K20" i="5"/>
  <c r="M15" i="5"/>
  <c r="M16" i="5"/>
  <c r="O22" i="5"/>
  <c r="O21" i="5"/>
  <c r="E15" i="39"/>
  <c r="D15" i="39"/>
  <c r="B45" i="30"/>
  <c r="B46" i="30" s="1"/>
  <c r="B16" i="33" s="1"/>
  <c r="C4" i="33"/>
  <c r="H22" i="21"/>
  <c r="K12" i="5"/>
  <c r="F29" i="22"/>
  <c r="B123" i="30"/>
  <c r="O10" i="5"/>
  <c r="O5" i="5"/>
  <c r="D15" i="25"/>
  <c r="C30" i="29"/>
  <c r="H64" i="29"/>
  <c r="B30" i="28"/>
  <c r="B31" i="28" s="1"/>
  <c r="H58" i="29"/>
  <c r="D5" i="36"/>
  <c r="D4" i="36" s="1"/>
  <c r="B4" i="36"/>
  <c r="B12" i="36" s="1"/>
  <c r="E60" i="29"/>
  <c r="F5" i="29"/>
  <c r="E32" i="29"/>
  <c r="E66" i="29"/>
  <c r="E36" i="29"/>
  <c r="E58" i="29"/>
  <c r="E67" i="29"/>
  <c r="E68" i="29"/>
  <c r="E35" i="29"/>
  <c r="E42" i="31"/>
  <c r="E40" i="31"/>
  <c r="E36" i="31"/>
  <c r="E44" i="31" s="1"/>
  <c r="E38" i="31"/>
  <c r="D14" i="22"/>
  <c r="D78" i="29"/>
  <c r="D58" i="29" s="1"/>
  <c r="E13" i="24"/>
  <c r="E14" i="22"/>
  <c r="D7" i="46"/>
  <c r="C8" i="46"/>
  <c r="E82" i="29"/>
  <c r="E64" i="29" s="1"/>
  <c r="K59" i="29"/>
  <c r="K58" i="29" s="1"/>
  <c r="J58" i="29"/>
  <c r="B7" i="15"/>
  <c r="K65" i="29"/>
  <c r="K64" i="29" s="1"/>
  <c r="J64" i="29"/>
  <c r="E7" i="24"/>
  <c r="E19" i="22"/>
  <c r="E18" i="22" s="1"/>
  <c r="E22" i="22" s="1"/>
  <c r="G39" i="20"/>
  <c r="F29" i="24"/>
  <c r="F51" i="29"/>
  <c r="B24" i="44"/>
  <c r="B24" i="45"/>
  <c r="I23" i="5"/>
  <c r="P23" i="5"/>
  <c r="F31" i="29"/>
  <c r="B10" i="46"/>
  <c r="C35" i="20"/>
  <c r="C33" i="20" s="1"/>
  <c r="C26" i="24"/>
  <c r="B185" i="29"/>
  <c r="E48" i="31"/>
  <c r="J81" i="29"/>
  <c r="F118" i="30" s="1"/>
  <c r="G81" i="29"/>
  <c r="C118" i="30" s="1"/>
  <c r="B169" i="29"/>
  <c r="B184" i="29" s="1"/>
  <c r="B12" i="33" s="1"/>
  <c r="C163" i="29"/>
  <c r="D163" i="29" s="1"/>
  <c r="E163" i="29" s="1"/>
  <c r="F163" i="29" s="1"/>
  <c r="G163" i="29" s="1"/>
  <c r="K15" i="5"/>
  <c r="K16" i="5"/>
  <c r="M23" i="5"/>
  <c r="M24" i="5"/>
  <c r="M20" i="5"/>
  <c r="M19" i="5"/>
  <c r="M11" i="5"/>
  <c r="M12" i="5"/>
  <c r="F159" i="29"/>
  <c r="F67" i="30"/>
  <c r="D67" i="30"/>
  <c r="F38" i="29"/>
  <c r="E5" i="46"/>
  <c r="E6" i="46" s="1"/>
  <c r="C154" i="29"/>
  <c r="D153" i="29" s="1"/>
  <c r="O13" i="5"/>
  <c r="O17" i="5"/>
  <c r="S16" i="5"/>
  <c r="T17" i="5" s="1"/>
  <c r="I64" i="29"/>
  <c r="G35" i="29"/>
  <c r="C30" i="28"/>
  <c r="C31" i="28" s="1"/>
  <c r="O30" i="5"/>
  <c r="Q30" i="5" s="1"/>
  <c r="P9" i="5"/>
  <c r="B18" i="36"/>
  <c r="C18" i="36" s="1"/>
  <c r="B15" i="36"/>
  <c r="C15" i="36" s="1"/>
  <c r="D11" i="24"/>
  <c r="E20" i="22"/>
  <c r="D20" i="22"/>
  <c r="E5" i="20"/>
  <c r="D5" i="24" s="1"/>
  <c r="D7" i="24"/>
  <c r="C19" i="22"/>
  <c r="C18" i="22" s="1"/>
  <c r="C22" i="22" s="1"/>
  <c r="D19" i="22"/>
  <c r="D18" i="22" s="1"/>
  <c r="D22" i="22" s="1"/>
  <c r="C5" i="46"/>
  <c r="C6" i="46" s="1"/>
  <c r="B21" i="27"/>
  <c r="D5" i="25"/>
  <c r="D5" i="26"/>
  <c r="D22" i="21"/>
  <c r="F5" i="25"/>
  <c r="F22" i="21"/>
  <c r="B7" i="39"/>
  <c r="I34" i="5"/>
  <c r="B25" i="10"/>
  <c r="D25" i="10" s="1"/>
  <c r="I24" i="5"/>
  <c r="B25" i="45"/>
  <c r="B25" i="44"/>
  <c r="P24" i="5"/>
  <c r="B21" i="44"/>
  <c r="P20" i="5"/>
  <c r="B21" i="10"/>
  <c r="D21" i="10" s="1"/>
  <c r="B21" i="45"/>
  <c r="B12" i="10"/>
  <c r="D12" i="10" s="1"/>
  <c r="B12" i="45"/>
  <c r="P11" i="5"/>
  <c r="I11" i="5"/>
  <c r="C49" i="29"/>
  <c r="B9" i="38"/>
  <c r="B41" i="38" s="1"/>
  <c r="C52" i="38" s="1"/>
  <c r="D52" i="38" s="1"/>
  <c r="C134" i="30"/>
  <c r="D134" i="30" s="1"/>
  <c r="E134" i="30" s="1"/>
  <c r="F134" i="30" s="1"/>
  <c r="G134" i="30" s="1"/>
  <c r="D35" i="20"/>
  <c r="D33" i="20" s="1"/>
  <c r="C23" i="24" s="1"/>
  <c r="C10" i="46"/>
  <c r="I18" i="5"/>
  <c r="B19" i="45"/>
  <c r="P18" i="5"/>
  <c r="B19" i="44"/>
  <c r="I13" i="5"/>
  <c r="P13" i="5"/>
  <c r="O35" i="5"/>
  <c r="O24" i="5"/>
  <c r="C4" i="29"/>
  <c r="D4" i="29" s="1"/>
  <c r="B10" i="29"/>
  <c r="D98" i="29"/>
  <c r="B65" i="29"/>
  <c r="B67" i="29"/>
  <c r="P21" i="5"/>
  <c r="B22" i="45"/>
  <c r="I21" i="5"/>
  <c r="I14" i="5"/>
  <c r="E15" i="15"/>
  <c r="B18" i="32"/>
  <c r="E24" i="22"/>
  <c r="E31" i="22" s="1"/>
  <c r="B36" i="29"/>
  <c r="C43" i="29"/>
  <c r="K27" i="5"/>
  <c r="K23" i="5"/>
  <c r="E16" i="47"/>
  <c r="D17" i="47"/>
  <c r="E17" i="47" s="1"/>
  <c r="F104" i="30"/>
  <c r="G107" i="30"/>
  <c r="G104" i="30" s="1"/>
  <c r="C25" i="33"/>
  <c r="C19" i="33"/>
  <c r="D130" i="30"/>
  <c r="E22" i="30"/>
  <c r="E62" i="30" s="1"/>
  <c r="E131" i="30"/>
  <c r="C51" i="38"/>
  <c r="E47" i="38"/>
  <c r="F47" i="38" s="1"/>
  <c r="G47" i="38" s="1"/>
  <c r="C74" i="30"/>
  <c r="C73" i="30" s="1"/>
  <c r="D108" i="30"/>
  <c r="C104" i="30"/>
  <c r="D24" i="24"/>
  <c r="D9" i="22"/>
  <c r="D7" i="22" s="1"/>
  <c r="F34" i="20"/>
  <c r="C171" i="29"/>
  <c r="B177" i="29"/>
  <c r="D31" i="22"/>
  <c r="J46" i="30"/>
  <c r="D4" i="33"/>
  <c r="D143" i="30"/>
  <c r="E10" i="30"/>
  <c r="D158" i="29"/>
  <c r="D159" i="29"/>
  <c r="B19" i="33"/>
  <c r="B8" i="35"/>
  <c r="C57" i="29"/>
  <c r="C77" i="29" s="1"/>
  <c r="C10" i="29"/>
  <c r="J53" i="30"/>
  <c r="C101" i="30"/>
  <c r="D180" i="29"/>
  <c r="C44" i="29"/>
  <c r="F43" i="29"/>
  <c r="C39" i="29"/>
  <c r="D39" i="29"/>
  <c r="D4" i="15"/>
  <c r="D52" i="29"/>
  <c r="C8" i="35"/>
  <c r="D51" i="38"/>
  <c r="E62" i="29"/>
  <c r="C58" i="29"/>
  <c r="C15" i="39"/>
  <c r="Q22" i="5" l="1"/>
  <c r="S21" i="5"/>
  <c r="Q21" i="5"/>
  <c r="B20" i="29"/>
  <c r="B29" i="29"/>
  <c r="B192" i="29" s="1"/>
  <c r="B198" i="29" s="1"/>
  <c r="B16" i="29"/>
  <c r="Q13" i="5"/>
  <c r="S13" i="5"/>
  <c r="B50" i="38"/>
  <c r="D50" i="38" s="1"/>
  <c r="Q20" i="5"/>
  <c r="S20" i="5"/>
  <c r="G32" i="29"/>
  <c r="G33" i="29" s="1"/>
  <c r="G34" i="29" s="1"/>
  <c r="H35" i="29"/>
  <c r="C95" i="29"/>
  <c r="C53" i="38"/>
  <c r="D16" i="27"/>
  <c r="D20" i="46"/>
  <c r="D24" i="46" s="1"/>
  <c r="D11" i="29" s="1"/>
  <c r="D17" i="29" s="1"/>
  <c r="E12" i="26"/>
  <c r="F14" i="25"/>
  <c r="Q10" i="5"/>
  <c r="Q9" i="5"/>
  <c r="S9" i="5"/>
  <c r="Q23" i="5"/>
  <c r="S23" i="5"/>
  <c r="F193" i="29"/>
  <c r="F52" i="29"/>
  <c r="D12" i="36"/>
  <c r="H5" i="36" s="1"/>
  <c r="H12" i="36"/>
  <c r="F20" i="46"/>
  <c r="F24" i="46" s="1"/>
  <c r="F11" i="29" s="1"/>
  <c r="H14" i="25"/>
  <c r="F16" i="27"/>
  <c r="G12" i="26"/>
  <c r="C32" i="29"/>
  <c r="C47" i="29"/>
  <c r="Q8" i="5"/>
  <c r="Q7" i="5"/>
  <c r="S7" i="5"/>
  <c r="E5" i="24"/>
  <c r="Q12" i="5"/>
  <c r="S11" i="5"/>
  <c r="Q11" i="5"/>
  <c r="D14" i="25"/>
  <c r="B16" i="27"/>
  <c r="D27" i="21"/>
  <c r="B20" i="46"/>
  <c r="B24" i="46" s="1"/>
  <c r="B11" i="29" s="1"/>
  <c r="B17" i="29" s="1"/>
  <c r="D12" i="26"/>
  <c r="F39" i="29"/>
  <c r="C40" i="29"/>
  <c r="F13" i="22"/>
  <c r="F26" i="24"/>
  <c r="G35" i="20"/>
  <c r="F82" i="29"/>
  <c r="F64" i="29" s="1"/>
  <c r="F10" i="46"/>
  <c r="E50" i="31"/>
  <c r="Q14" i="5"/>
  <c r="F28" i="22"/>
  <c r="F31" i="22" s="1"/>
  <c r="B86" i="30"/>
  <c r="B85" i="30" s="1"/>
  <c r="B88" i="30" s="1"/>
  <c r="B9" i="35"/>
  <c r="B20" i="33"/>
  <c r="D13" i="22"/>
  <c r="D11" i="22" s="1"/>
  <c r="E35" i="20"/>
  <c r="E33" i="20" s="1"/>
  <c r="D82" i="29"/>
  <c r="D64" i="29" s="1"/>
  <c r="D26" i="24"/>
  <c r="E13" i="22"/>
  <c r="E11" i="22" s="1"/>
  <c r="D10" i="46"/>
  <c r="C193" i="29"/>
  <c r="C194" i="29" s="1"/>
  <c r="C52" i="29"/>
  <c r="B56" i="30"/>
  <c r="B57" i="30" s="1"/>
  <c r="J57" i="30" s="1"/>
  <c r="F18" i="22"/>
  <c r="F22" i="22" s="1"/>
  <c r="D22" i="30"/>
  <c r="D62" i="30" s="1"/>
  <c r="B42" i="38"/>
  <c r="B183" i="29"/>
  <c r="D100" i="29"/>
  <c r="D110" i="29"/>
  <c r="D113" i="29" s="1"/>
  <c r="C98" i="29"/>
  <c r="S18" i="5"/>
  <c r="Q19" i="5"/>
  <c r="Q18" i="5"/>
  <c r="Q24" i="5"/>
  <c r="Q34" i="5"/>
  <c r="S24" i="5"/>
  <c r="P25" i="5"/>
  <c r="B6" i="15"/>
  <c r="T16" i="5"/>
  <c r="D7" i="15"/>
  <c r="E26" i="24"/>
  <c r="B15" i="38"/>
  <c r="B38" i="38" s="1"/>
  <c r="B43" i="38" s="1"/>
  <c r="C39" i="38" s="1"/>
  <c r="C123" i="30"/>
  <c r="D123" i="30" s="1"/>
  <c r="E123" i="30" s="1"/>
  <c r="F123" i="30" s="1"/>
  <c r="G123" i="30" s="1"/>
  <c r="E31" i="28"/>
  <c r="C66" i="33"/>
  <c r="D101" i="30"/>
  <c r="E180" i="29"/>
  <c r="E4" i="29"/>
  <c r="D57" i="29"/>
  <c r="D77" i="29" s="1"/>
  <c r="D10" i="29"/>
  <c r="D95" i="29"/>
  <c r="C29" i="29"/>
  <c r="C192" i="29" s="1"/>
  <c r="C198" i="29" s="1"/>
  <c r="C20" i="29"/>
  <c r="C16" i="29"/>
  <c r="D160" i="29"/>
  <c r="C176" i="29"/>
  <c r="C178" i="29" s="1"/>
  <c r="C177" i="29"/>
  <c r="C183" i="29" s="1"/>
  <c r="C172" i="29"/>
  <c r="D172" i="29" s="1"/>
  <c r="E172" i="29" s="1"/>
  <c r="E9" i="22"/>
  <c r="E7" i="22" s="1"/>
  <c r="E24" i="24"/>
  <c r="G34" i="20"/>
  <c r="F33" i="20"/>
  <c r="E108" i="30"/>
  <c r="D74" i="30"/>
  <c r="D73" i="30" s="1"/>
  <c r="D104" i="30"/>
  <c r="F131" i="30"/>
  <c r="F22" i="30"/>
  <c r="F62" i="30" s="1"/>
  <c r="E130" i="30"/>
  <c r="E143" i="30"/>
  <c r="E4" i="33"/>
  <c r="F10" i="30"/>
  <c r="D25" i="33"/>
  <c r="D8" i="35"/>
  <c r="D19" i="33"/>
  <c r="D23" i="24"/>
  <c r="D53" i="38"/>
  <c r="D54" i="38" s="1"/>
  <c r="C63" i="38" s="1"/>
  <c r="C42" i="38" l="1"/>
  <c r="B63" i="38" s="1"/>
  <c r="C110" i="29"/>
  <c r="C113" i="29" s="1"/>
  <c r="B114" i="29" s="1"/>
  <c r="B124" i="29" s="1"/>
  <c r="C100" i="29"/>
  <c r="B101" i="29" s="1"/>
  <c r="B122" i="29" s="1"/>
  <c r="B125" i="29" s="1"/>
  <c r="B31" i="36"/>
  <c r="F31" i="36" s="1"/>
  <c r="B66" i="36"/>
  <c r="F66" i="36" s="1"/>
  <c r="B32" i="36"/>
  <c r="F32" i="36" s="1"/>
  <c r="B58" i="36"/>
  <c r="F58" i="36" s="1"/>
  <c r="B30" i="36"/>
  <c r="F30" i="36" s="1"/>
  <c r="D15" i="36"/>
  <c r="B22" i="36" s="1"/>
  <c r="F22" i="36" s="1"/>
  <c r="D18" i="36"/>
  <c r="B25" i="36" s="1"/>
  <c r="F25" i="36" s="1"/>
  <c r="B37" i="36"/>
  <c r="F37" i="36" s="1"/>
  <c r="D17" i="36"/>
  <c r="B24" i="36" s="1"/>
  <c r="F24" i="36" s="1"/>
  <c r="B46" i="36"/>
  <c r="F46" i="36" s="1"/>
  <c r="B67" i="36"/>
  <c r="F67" i="36" s="1"/>
  <c r="D16" i="36"/>
  <c r="B23" i="36" s="1"/>
  <c r="F23" i="36" s="1"/>
  <c r="B60" i="36"/>
  <c r="F60" i="36" s="1"/>
  <c r="B38" i="36"/>
  <c r="F38" i="36" s="1"/>
  <c r="B51" i="36"/>
  <c r="F51" i="36" s="1"/>
  <c r="B50" i="36"/>
  <c r="F50" i="36" s="1"/>
  <c r="F54" i="36" s="1"/>
  <c r="B78" i="36" s="1"/>
  <c r="B36" i="36"/>
  <c r="F36" i="36" s="1"/>
  <c r="B29" i="36"/>
  <c r="F29" i="36" s="1"/>
  <c r="B65" i="36"/>
  <c r="F65" i="36" s="1"/>
  <c r="B53" i="36"/>
  <c r="F53" i="36" s="1"/>
  <c r="B45" i="36"/>
  <c r="F45" i="36" s="1"/>
  <c r="B44" i="36"/>
  <c r="F44" i="36" s="1"/>
  <c r="B59" i="36"/>
  <c r="F59" i="36" s="1"/>
  <c r="B68" i="36"/>
  <c r="F68" i="36" s="1"/>
  <c r="B39" i="36"/>
  <c r="F39" i="36" s="1"/>
  <c r="B57" i="36"/>
  <c r="F57" i="36" s="1"/>
  <c r="B52" i="36"/>
  <c r="F52" i="36" s="1"/>
  <c r="B43" i="36"/>
  <c r="F43" i="36" s="1"/>
  <c r="T20" i="5"/>
  <c r="B10" i="15"/>
  <c r="C41" i="38"/>
  <c r="T11" i="5"/>
  <c r="T12" i="5"/>
  <c r="B13" i="15"/>
  <c r="T23" i="5"/>
  <c r="T13" i="5"/>
  <c r="T14" i="5"/>
  <c r="C4" i="15" s="1"/>
  <c r="C43" i="38"/>
  <c r="D6" i="15"/>
  <c r="C6" i="15"/>
  <c r="C40" i="38"/>
  <c r="S25" i="5"/>
  <c r="P26" i="5"/>
  <c r="C48" i="29"/>
  <c r="D48" i="29"/>
  <c r="T9" i="5"/>
  <c r="T10" i="5"/>
  <c r="T21" i="5"/>
  <c r="B11" i="15"/>
  <c r="T22" i="5"/>
  <c r="B8" i="15"/>
  <c r="T18" i="5"/>
  <c r="T19" i="5"/>
  <c r="B5" i="39"/>
  <c r="B13" i="39" s="1"/>
  <c r="B16" i="39" s="1"/>
  <c r="B18" i="39" s="1"/>
  <c r="D28" i="21"/>
  <c r="D19" i="25" s="1"/>
  <c r="B10" i="27"/>
  <c r="D18" i="25"/>
  <c r="C38" i="38"/>
  <c r="B62" i="38" s="1"/>
  <c r="D62" i="38" s="1"/>
  <c r="C7" i="15"/>
  <c r="T34" i="5"/>
  <c r="B14" i="15"/>
  <c r="T24" i="5"/>
  <c r="F11" i="22"/>
  <c r="B52" i="30"/>
  <c r="T8" i="5"/>
  <c r="T7" i="5"/>
  <c r="F17" i="29"/>
  <c r="C12" i="29"/>
  <c r="C195" i="29"/>
  <c r="H20" i="33" s="1"/>
  <c r="F194" i="29"/>
  <c r="I35" i="29"/>
  <c r="H32" i="29"/>
  <c r="H33" i="29" s="1"/>
  <c r="H34" i="29" s="1"/>
  <c r="E25" i="33"/>
  <c r="E19" i="33"/>
  <c r="E8" i="35"/>
  <c r="G22" i="30"/>
  <c r="G62" i="30" s="1"/>
  <c r="F130" i="30"/>
  <c r="G131" i="30"/>
  <c r="G130" i="30" s="1"/>
  <c r="F9" i="22"/>
  <c r="B129" i="30"/>
  <c r="G33" i="20"/>
  <c r="F24" i="24"/>
  <c r="C15" i="30"/>
  <c r="D20" i="29"/>
  <c r="D29" i="29"/>
  <c r="D192" i="29" s="1"/>
  <c r="D198" i="29" s="1"/>
  <c r="D16" i="29"/>
  <c r="E57" i="29"/>
  <c r="E77" i="29" s="1"/>
  <c r="E95" i="29"/>
  <c r="F4" i="29"/>
  <c r="E10" i="29"/>
  <c r="C42" i="35"/>
  <c r="C7" i="47"/>
  <c r="F143" i="30"/>
  <c r="G10" i="30"/>
  <c r="G143" i="30" s="1"/>
  <c r="F4" i="33"/>
  <c r="E74" i="30"/>
  <c r="E73" i="30" s="1"/>
  <c r="F74" i="30"/>
  <c r="F73" i="30" s="1"/>
  <c r="E104" i="30"/>
  <c r="E23" i="24"/>
  <c r="F171" i="29"/>
  <c r="C103" i="30"/>
  <c r="D178" i="29"/>
  <c r="E160" i="29"/>
  <c r="D99" i="30"/>
  <c r="E101" i="30"/>
  <c r="F180" i="29"/>
  <c r="D63" i="38"/>
  <c r="D64" i="38" s="1"/>
  <c r="J52" i="30" l="1"/>
  <c r="B50" i="30"/>
  <c r="C11" i="15"/>
  <c r="C12" i="15"/>
  <c r="D11" i="15"/>
  <c r="F40" i="36"/>
  <c r="B76" i="36" s="1"/>
  <c r="J35" i="29"/>
  <c r="I32" i="29"/>
  <c r="I33" i="29" s="1"/>
  <c r="I34" i="29" s="1"/>
  <c r="F47" i="36"/>
  <c r="B77" i="36" s="1"/>
  <c r="D29" i="21"/>
  <c r="C8" i="15"/>
  <c r="D8" i="15"/>
  <c r="C9" i="15"/>
  <c r="P27" i="5"/>
  <c r="S26" i="5"/>
  <c r="F69" i="36"/>
  <c r="C81" i="36" s="1"/>
  <c r="C14" i="15"/>
  <c r="D14" i="15"/>
  <c r="B15" i="15"/>
  <c r="T25" i="5"/>
  <c r="C13" i="15"/>
  <c r="D13" i="15"/>
  <c r="C10" i="15"/>
  <c r="D10" i="15"/>
  <c r="F61" i="36"/>
  <c r="B79" i="36" s="1"/>
  <c r="F33" i="36"/>
  <c r="B75" i="36" s="1"/>
  <c r="F26" i="36"/>
  <c r="B74" i="36" s="1"/>
  <c r="C80" i="36" s="1"/>
  <c r="B47" i="33"/>
  <c r="B35" i="33"/>
  <c r="G180" i="29"/>
  <c r="G101" i="30" s="1"/>
  <c r="F101" i="30"/>
  <c r="F176" i="29"/>
  <c r="F177" i="29"/>
  <c r="G4" i="29"/>
  <c r="F10" i="29"/>
  <c r="B151" i="29"/>
  <c r="C151" i="29" s="1"/>
  <c r="D151" i="29" s="1"/>
  <c r="E151" i="29" s="1"/>
  <c r="F151" i="29" s="1"/>
  <c r="G151" i="29" s="1"/>
  <c r="F57" i="29"/>
  <c r="F77" i="29" s="1"/>
  <c r="F95" i="29"/>
  <c r="F23" i="24"/>
  <c r="B49" i="30"/>
  <c r="B47" i="30" s="1"/>
  <c r="F7" i="22"/>
  <c r="F160" i="29"/>
  <c r="E99" i="30"/>
  <c r="E178" i="29"/>
  <c r="D103" i="30"/>
  <c r="F25" i="33"/>
  <c r="G4" i="33"/>
  <c r="F8" i="35"/>
  <c r="F19" i="33"/>
  <c r="F15" i="47"/>
  <c r="F16" i="47"/>
  <c r="F17" i="47"/>
  <c r="E16" i="29"/>
  <c r="E20" i="29"/>
  <c r="E29" i="29"/>
  <c r="E192" i="29" s="1"/>
  <c r="E198" i="29" s="1"/>
  <c r="C48" i="30"/>
  <c r="C47" i="30" s="1"/>
  <c r="K47" i="30" s="1"/>
  <c r="C29" i="33"/>
  <c r="C129" i="30"/>
  <c r="B128" i="30"/>
  <c r="F172" i="29"/>
  <c r="D82" i="36" l="1"/>
  <c r="D84" i="36" s="1"/>
  <c r="D58" i="38" s="1"/>
  <c r="D15" i="15"/>
  <c r="C15" i="15"/>
  <c r="K35" i="29"/>
  <c r="K32" i="29" s="1"/>
  <c r="K33" i="29" s="1"/>
  <c r="K34" i="29" s="1"/>
  <c r="J32" i="29"/>
  <c r="J33" i="29" s="1"/>
  <c r="J34" i="29" s="1"/>
  <c r="S27" i="5"/>
  <c r="P28" i="5"/>
  <c r="D20" i="25"/>
  <c r="D30" i="21"/>
  <c r="B16" i="15"/>
  <c r="C16" i="15" s="1"/>
  <c r="E16" i="15" s="1"/>
  <c r="T26" i="5"/>
  <c r="C30" i="33"/>
  <c r="D129" i="30"/>
  <c r="G25" i="33"/>
  <c r="G8" i="35"/>
  <c r="B19" i="35" s="1"/>
  <c r="C19" i="35" s="1"/>
  <c r="D19" i="35" s="1"/>
  <c r="E19" i="35" s="1"/>
  <c r="F19" i="35" s="1"/>
  <c r="G19" i="35" s="1"/>
  <c r="G19" i="33"/>
  <c r="B40" i="33" s="1"/>
  <c r="C40" i="33" s="1"/>
  <c r="D40" i="33" s="1"/>
  <c r="E40" i="33" s="1"/>
  <c r="F40" i="33" s="1"/>
  <c r="G40" i="33" s="1"/>
  <c r="F99" i="30"/>
  <c r="J47" i="30"/>
  <c r="B54" i="30"/>
  <c r="H4" i="29"/>
  <c r="G10" i="29"/>
  <c r="G57" i="29"/>
  <c r="G77" i="29" s="1"/>
  <c r="F178" i="29"/>
  <c r="E103" i="30"/>
  <c r="F20" i="29"/>
  <c r="F29" i="29"/>
  <c r="F192" i="29" s="1"/>
  <c r="F198" i="29" s="1"/>
  <c r="F16" i="29"/>
  <c r="E35" i="33"/>
  <c r="E14" i="35" s="1"/>
  <c r="C35" i="33"/>
  <c r="C14" i="35" s="1"/>
  <c r="G35" i="33"/>
  <c r="G14" i="35" s="1"/>
  <c r="F35" i="33"/>
  <c r="F14" i="35" s="1"/>
  <c r="D35" i="33"/>
  <c r="D14" i="35" s="1"/>
  <c r="B5" i="35"/>
  <c r="E47" i="33" l="1"/>
  <c r="E25" i="35" s="1"/>
  <c r="F16" i="15"/>
  <c r="G5" i="29"/>
  <c r="G7" i="29" s="1"/>
  <c r="T27" i="5"/>
  <c r="B17" i="15"/>
  <c r="C17" i="15" s="1"/>
  <c r="E17" i="15" s="1"/>
  <c r="H5" i="29" s="1"/>
  <c r="D47" i="33"/>
  <c r="D25" i="35" s="1"/>
  <c r="S28" i="5"/>
  <c r="P29" i="5"/>
  <c r="F47" i="33"/>
  <c r="F25" i="35" s="1"/>
  <c r="D21" i="25"/>
  <c r="B15" i="27"/>
  <c r="C32" i="20"/>
  <c r="C47" i="33"/>
  <c r="C25" i="35" s="1"/>
  <c r="G16" i="29"/>
  <c r="G29" i="29"/>
  <c r="G192" i="29" s="1"/>
  <c r="G198" i="29" s="1"/>
  <c r="G20" i="29"/>
  <c r="B5" i="28"/>
  <c r="B58" i="30"/>
  <c r="B14" i="35"/>
  <c r="B25" i="35" s="1"/>
  <c r="F103" i="30"/>
  <c r="H57" i="29"/>
  <c r="H77" i="29" s="1"/>
  <c r="I4" i="29"/>
  <c r="H10" i="29"/>
  <c r="E129" i="30"/>
  <c r="D30" i="33"/>
  <c r="D31" i="20" l="1"/>
  <c r="C27" i="20"/>
  <c r="C11" i="30"/>
  <c r="C16" i="30" s="1"/>
  <c r="C136" i="30"/>
  <c r="G11" i="29"/>
  <c r="C135" i="30"/>
  <c r="G26" i="29"/>
  <c r="G25" i="29"/>
  <c r="G27" i="29"/>
  <c r="G21" i="29"/>
  <c r="G38" i="29" s="1"/>
  <c r="G22" i="29"/>
  <c r="G42" i="29" s="1"/>
  <c r="B7" i="28"/>
  <c r="B8" i="28" s="1"/>
  <c r="B9" i="28" s="1"/>
  <c r="G24" i="29"/>
  <c r="C111" i="30"/>
  <c r="C110" i="30" s="1"/>
  <c r="C137" i="30"/>
  <c r="G23" i="29"/>
  <c r="G47" i="29" s="1"/>
  <c r="G79" i="29"/>
  <c r="C138" i="30"/>
  <c r="G82" i="29"/>
  <c r="C112" i="30"/>
  <c r="G78" i="29"/>
  <c r="C53" i="30" s="1"/>
  <c r="K53" i="30" s="1"/>
  <c r="F17" i="15"/>
  <c r="F18" i="15" s="1"/>
  <c r="P30" i="5"/>
  <c r="S29" i="5"/>
  <c r="B18" i="15"/>
  <c r="C18" i="15" s="1"/>
  <c r="E18" i="15" s="1"/>
  <c r="I5" i="29" s="1"/>
  <c r="T28" i="5"/>
  <c r="H7" i="29"/>
  <c r="E30" i="33"/>
  <c r="F129" i="30"/>
  <c r="J4" i="29"/>
  <c r="I57" i="29"/>
  <c r="I77" i="29" s="1"/>
  <c r="I10" i="29"/>
  <c r="H16" i="29"/>
  <c r="C5" i="28"/>
  <c r="H29" i="29"/>
  <c r="H192" i="29" s="1"/>
  <c r="H198" i="29" s="1"/>
  <c r="H20" i="29"/>
  <c r="C13" i="30" l="1"/>
  <c r="G43" i="29"/>
  <c r="I7" i="29"/>
  <c r="C51" i="30"/>
  <c r="C114" i="30"/>
  <c r="C113" i="30" s="1"/>
  <c r="C169" i="30" s="1"/>
  <c r="G39" i="29"/>
  <c r="C12" i="30"/>
  <c r="C133" i="30"/>
  <c r="C26" i="20"/>
  <c r="B14" i="27"/>
  <c r="D135" i="30"/>
  <c r="H25" i="29"/>
  <c r="H22" i="29"/>
  <c r="H42" i="29" s="1"/>
  <c r="D136" i="30"/>
  <c r="H24" i="29"/>
  <c r="D138" i="30"/>
  <c r="H23" i="29"/>
  <c r="H47" i="29" s="1"/>
  <c r="D112" i="30"/>
  <c r="H11" i="29"/>
  <c r="H27" i="29"/>
  <c r="D11" i="30"/>
  <c r="D16" i="30" s="1"/>
  <c r="H79" i="29"/>
  <c r="D111" i="30"/>
  <c r="H78" i="29"/>
  <c r="D53" i="30" s="1"/>
  <c r="L53" i="30" s="1"/>
  <c r="H26" i="29"/>
  <c r="H21" i="29"/>
  <c r="H38" i="29" s="1"/>
  <c r="H82" i="29"/>
  <c r="D137" i="30"/>
  <c r="S30" i="5"/>
  <c r="Q35" i="5"/>
  <c r="G73" i="29"/>
  <c r="C52" i="30"/>
  <c r="K52" i="30" s="1"/>
  <c r="G48" i="29"/>
  <c r="C14" i="30"/>
  <c r="B19" i="15"/>
  <c r="C19" i="15" s="1"/>
  <c r="E19" i="15" s="1"/>
  <c r="J5" i="29" s="1"/>
  <c r="T29" i="5"/>
  <c r="G51" i="29"/>
  <c r="D5" i="28"/>
  <c r="I16" i="29"/>
  <c r="I20" i="29"/>
  <c r="I29" i="29"/>
  <c r="I192" i="29" s="1"/>
  <c r="I198" i="29" s="1"/>
  <c r="K4" i="29"/>
  <c r="J10" i="29"/>
  <c r="J57" i="29"/>
  <c r="J77" i="29" s="1"/>
  <c r="G129" i="30"/>
  <c r="F30" i="33"/>
  <c r="G52" i="29" l="1"/>
  <c r="G193" i="29"/>
  <c r="G194" i="29" s="1"/>
  <c r="D12" i="30"/>
  <c r="H39" i="29"/>
  <c r="C18" i="30"/>
  <c r="C168" i="30"/>
  <c r="C170" i="30"/>
  <c r="B20" i="15"/>
  <c r="C20" i="15" s="1"/>
  <c r="E20" i="15" s="1"/>
  <c r="K5" i="29" s="1"/>
  <c r="K7" i="29" s="1"/>
  <c r="T35" i="5"/>
  <c r="T30" i="5"/>
  <c r="H48" i="29"/>
  <c r="D14" i="30"/>
  <c r="B13" i="27"/>
  <c r="C23" i="20"/>
  <c r="J7" i="29"/>
  <c r="B9" i="27"/>
  <c r="D51" i="30"/>
  <c r="D114" i="30"/>
  <c r="D113" i="30" s="1"/>
  <c r="D169" i="30" s="1"/>
  <c r="E137" i="30"/>
  <c r="E11" i="30"/>
  <c r="E16" i="30" s="1"/>
  <c r="I27" i="29"/>
  <c r="I78" i="29"/>
  <c r="E53" i="30" s="1"/>
  <c r="M53" i="30" s="1"/>
  <c r="E136" i="30"/>
  <c r="I24" i="29"/>
  <c r="E112" i="30"/>
  <c r="I82" i="29"/>
  <c r="I26" i="29"/>
  <c r="E138" i="30"/>
  <c r="I21" i="29"/>
  <c r="I38" i="29" s="1"/>
  <c r="I22" i="29"/>
  <c r="I42" i="29" s="1"/>
  <c r="E135" i="30"/>
  <c r="I25" i="29"/>
  <c r="I23" i="29"/>
  <c r="I47" i="29" s="1"/>
  <c r="I79" i="29"/>
  <c r="I51" i="29"/>
  <c r="I52" i="29" s="1"/>
  <c r="I11" i="29"/>
  <c r="E111" i="30"/>
  <c r="E110" i="30" s="1"/>
  <c r="H43" i="29"/>
  <c r="D13" i="30"/>
  <c r="H51" i="29"/>
  <c r="H52" i="29" s="1"/>
  <c r="K116" i="30"/>
  <c r="G80" i="29"/>
  <c r="D52" i="30"/>
  <c r="L52" i="30" s="1"/>
  <c r="H73" i="29"/>
  <c r="D110" i="30"/>
  <c r="D133" i="30"/>
  <c r="C128" i="30"/>
  <c r="C7" i="33"/>
  <c r="K51" i="30"/>
  <c r="C50" i="30"/>
  <c r="F19" i="15"/>
  <c r="F20" i="15" s="1"/>
  <c r="G20" i="15" s="1"/>
  <c r="G30" i="33"/>
  <c r="E5" i="28"/>
  <c r="J20" i="29"/>
  <c r="J29" i="29"/>
  <c r="J192" i="29" s="1"/>
  <c r="J198" i="29" s="1"/>
  <c r="J16" i="29"/>
  <c r="K57" i="29"/>
  <c r="K77" i="29" s="1"/>
  <c r="K10" i="29"/>
  <c r="C118" i="29" l="1"/>
  <c r="K24" i="29"/>
  <c r="G112" i="30"/>
  <c r="K78" i="29"/>
  <c r="G53" i="30" s="1"/>
  <c r="O53" i="30" s="1"/>
  <c r="G138" i="30"/>
  <c r="K25" i="29"/>
  <c r="B11" i="28"/>
  <c r="K11" i="29"/>
  <c r="G12" i="29" s="1"/>
  <c r="G11" i="30"/>
  <c r="G16" i="30" s="1"/>
  <c r="G136" i="30"/>
  <c r="K79" i="29"/>
  <c r="K82" i="29"/>
  <c r="G111" i="30"/>
  <c r="K21" i="29"/>
  <c r="K38" i="29" s="1"/>
  <c r="K22" i="29"/>
  <c r="K42" i="29" s="1"/>
  <c r="G6" i="29"/>
  <c r="K26" i="29"/>
  <c r="G137" i="30"/>
  <c r="K27" i="29"/>
  <c r="K23" i="29"/>
  <c r="K47" i="29" s="1"/>
  <c r="G135" i="30"/>
  <c r="G84" i="29"/>
  <c r="C13" i="33" s="1"/>
  <c r="C116" i="30"/>
  <c r="E114" i="30"/>
  <c r="E113" i="30" s="1"/>
  <c r="E169" i="30" s="1"/>
  <c r="E51" i="30"/>
  <c r="E52" i="30"/>
  <c r="M52" i="30" s="1"/>
  <c r="I73" i="29"/>
  <c r="D170" i="30"/>
  <c r="D168" i="30"/>
  <c r="E14" i="30"/>
  <c r="I48" i="29"/>
  <c r="I39" i="29"/>
  <c r="E12" i="30"/>
  <c r="E168" i="30" s="1"/>
  <c r="D50" i="30"/>
  <c r="L51" i="30"/>
  <c r="B5" i="27"/>
  <c r="B12" i="46"/>
  <c r="B13" i="46" s="1"/>
  <c r="B14" i="46" s="1"/>
  <c r="B15" i="46" s="1"/>
  <c r="B16" i="46" s="1"/>
  <c r="B17" i="46" s="1"/>
  <c r="B199" i="29" s="1"/>
  <c r="C200" i="29" s="1"/>
  <c r="C201" i="29" s="1"/>
  <c r="E24" i="21"/>
  <c r="C4" i="22"/>
  <c r="C14" i="20"/>
  <c r="B71" i="29"/>
  <c r="B72" i="29" s="1"/>
  <c r="B6" i="27"/>
  <c r="E133" i="30"/>
  <c r="F11" i="30"/>
  <c r="F16" i="30" s="1"/>
  <c r="F137" i="30"/>
  <c r="F111" i="30"/>
  <c r="F138" i="30"/>
  <c r="J23" i="29"/>
  <c r="J47" i="29" s="1"/>
  <c r="J27" i="29"/>
  <c r="J26" i="29"/>
  <c r="J82" i="29"/>
  <c r="J22" i="29"/>
  <c r="J42" i="29" s="1"/>
  <c r="J21" i="29"/>
  <c r="J38" i="29" s="1"/>
  <c r="J79" i="29"/>
  <c r="J78" i="29"/>
  <c r="F53" i="30" s="1"/>
  <c r="N53" i="30" s="1"/>
  <c r="F135" i="30"/>
  <c r="J11" i="29"/>
  <c r="J24" i="29"/>
  <c r="F112" i="30"/>
  <c r="F136" i="30"/>
  <c r="J25" i="29"/>
  <c r="D7" i="33"/>
  <c r="D128" i="30"/>
  <c r="E13" i="30"/>
  <c r="E170" i="30" s="1"/>
  <c r="I43" i="29"/>
  <c r="L50" i="30"/>
  <c r="H80" i="29"/>
  <c r="L116" i="30"/>
  <c r="C160" i="30"/>
  <c r="C44" i="30"/>
  <c r="C45" i="30" s="1"/>
  <c r="C46" i="30" s="1"/>
  <c r="C164" i="30"/>
  <c r="C26" i="33"/>
  <c r="C27" i="33" s="1"/>
  <c r="C28" i="33" s="1"/>
  <c r="K16" i="29"/>
  <c r="F5" i="28"/>
  <c r="K29" i="29"/>
  <c r="K192" i="29" s="1"/>
  <c r="K198" i="29" s="1"/>
  <c r="K20" i="29"/>
  <c r="F133" i="30" l="1"/>
  <c r="M50" i="30"/>
  <c r="M116" i="30"/>
  <c r="I80" i="29"/>
  <c r="G51" i="30"/>
  <c r="G114" i="30"/>
  <c r="G113" i="30" s="1"/>
  <c r="G169" i="30" s="1"/>
  <c r="H84" i="29"/>
  <c r="D13" i="33" s="1"/>
  <c r="D32" i="33" s="1"/>
  <c r="D116" i="30"/>
  <c r="J51" i="29"/>
  <c r="J52" i="29" s="1"/>
  <c r="C54" i="30"/>
  <c r="C16" i="33"/>
  <c r="K46" i="30"/>
  <c r="F114" i="30"/>
  <c r="F113" i="30" s="1"/>
  <c r="F169" i="30" s="1"/>
  <c r="F51" i="30"/>
  <c r="J73" i="29"/>
  <c r="F52" i="30"/>
  <c r="N52" i="30" s="1"/>
  <c r="E128" i="30"/>
  <c r="E7" i="33"/>
  <c r="B74" i="29"/>
  <c r="B73" i="29"/>
  <c r="B80" i="29" s="1"/>
  <c r="B84" i="29" s="1"/>
  <c r="E50" i="30"/>
  <c r="M51" i="30"/>
  <c r="G133" i="30"/>
  <c r="G110" i="30"/>
  <c r="K51" i="29"/>
  <c r="K52" i="29" s="1"/>
  <c r="J43" i="29"/>
  <c r="F13" i="30"/>
  <c r="G44" i="29"/>
  <c r="K43" i="29"/>
  <c r="G13" i="30"/>
  <c r="G170" i="30" s="1"/>
  <c r="J48" i="29"/>
  <c r="F14" i="30"/>
  <c r="E26" i="21"/>
  <c r="E15" i="25"/>
  <c r="D13" i="26"/>
  <c r="C7" i="39"/>
  <c r="G12" i="30"/>
  <c r="G40" i="29"/>
  <c r="K39" i="29"/>
  <c r="F12" i="30"/>
  <c r="J39" i="29"/>
  <c r="F110" i="30"/>
  <c r="F168" i="30" s="1"/>
  <c r="C4" i="20"/>
  <c r="B7" i="27"/>
  <c r="G49" i="29"/>
  <c r="G14" i="30"/>
  <c r="K48" i="29"/>
  <c r="G52" i="30"/>
  <c r="O52" i="30" s="1"/>
  <c r="K73" i="29"/>
  <c r="E129" i="29"/>
  <c r="E143" i="29" s="1"/>
  <c r="E132" i="29"/>
  <c r="E122" i="29"/>
  <c r="E123" i="29"/>
  <c r="E125" i="29"/>
  <c r="E131" i="29"/>
  <c r="E145" i="29" s="1"/>
  <c r="G173" i="29" s="1"/>
  <c r="E124" i="29"/>
  <c r="E130" i="29"/>
  <c r="E144" i="29" s="1"/>
  <c r="E164" i="29" l="1"/>
  <c r="E185" i="29" s="1"/>
  <c r="E56" i="30" s="1"/>
  <c r="E57" i="30" s="1"/>
  <c r="M57" i="30" s="1"/>
  <c r="C164" i="29"/>
  <c r="F164" i="29"/>
  <c r="F185" i="29" s="1"/>
  <c r="F56" i="30" s="1"/>
  <c r="F57" i="30" s="1"/>
  <c r="N57" i="30" s="1"/>
  <c r="D164" i="29"/>
  <c r="D185" i="29" s="1"/>
  <c r="D56" i="30" s="1"/>
  <c r="D57" i="30" s="1"/>
  <c r="L57" i="30" s="1"/>
  <c r="G7" i="33"/>
  <c r="G128" i="30"/>
  <c r="G176" i="29"/>
  <c r="G178" i="29" s="1"/>
  <c r="G103" i="30" s="1"/>
  <c r="H173" i="29"/>
  <c r="G174" i="29"/>
  <c r="C7" i="23"/>
  <c r="C30" i="23"/>
  <c r="C10" i="23"/>
  <c r="C29" i="23"/>
  <c r="C24" i="23"/>
  <c r="C13" i="23"/>
  <c r="C23" i="23"/>
  <c r="C25" i="23"/>
  <c r="C28" i="23"/>
  <c r="C8" i="23"/>
  <c r="C15" i="23"/>
  <c r="C16" i="23"/>
  <c r="C11" i="23"/>
  <c r="C5" i="23"/>
  <c r="C9" i="23"/>
  <c r="C14" i="23"/>
  <c r="C18" i="23"/>
  <c r="C4" i="23"/>
  <c r="C6" i="23"/>
  <c r="C22" i="23"/>
  <c r="C26" i="23"/>
  <c r="C27" i="23"/>
  <c r="C21" i="23"/>
  <c r="C17" i="23"/>
  <c r="F170" i="30"/>
  <c r="E17" i="25"/>
  <c r="D15" i="26"/>
  <c r="E27" i="21"/>
  <c r="F50" i="30"/>
  <c r="N51" i="30"/>
  <c r="K80" i="29"/>
  <c r="O50" i="30"/>
  <c r="O116" i="30"/>
  <c r="I84" i="29"/>
  <c r="E13" i="33" s="1"/>
  <c r="E32" i="33" s="1"/>
  <c r="E116" i="30"/>
  <c r="J80" i="29"/>
  <c r="N116" i="30"/>
  <c r="N50" i="30"/>
  <c r="C9" i="35"/>
  <c r="C20" i="33"/>
  <c r="G155" i="29"/>
  <c r="E146" i="29"/>
  <c r="E147" i="29" s="1"/>
  <c r="C12" i="23"/>
  <c r="G168" i="30"/>
  <c r="O51" i="30"/>
  <c r="G50" i="30"/>
  <c r="F7" i="33"/>
  <c r="F128" i="30"/>
  <c r="H155" i="29" l="1"/>
  <c r="G156" i="29"/>
  <c r="G158" i="29"/>
  <c r="G160" i="29" s="1"/>
  <c r="G99" i="30" s="1"/>
  <c r="G185" i="29"/>
  <c r="G56" i="30" s="1"/>
  <c r="G57" i="30" s="1"/>
  <c r="O57" i="30" s="1"/>
  <c r="F116" i="30"/>
  <c r="J84" i="29"/>
  <c r="F13" i="33" s="1"/>
  <c r="F32" i="33" s="1"/>
  <c r="E28" i="21"/>
  <c r="D16" i="26"/>
  <c r="C5" i="39"/>
  <c r="C13" i="39" s="1"/>
  <c r="C16" i="39" s="1"/>
  <c r="C18" i="39" s="1"/>
  <c r="E18" i="25"/>
  <c r="C10" i="27"/>
  <c r="E29" i="21"/>
  <c r="C167" i="29"/>
  <c r="C185" i="29"/>
  <c r="C165" i="29"/>
  <c r="H164" i="29"/>
  <c r="G116" i="30"/>
  <c r="K84" i="29"/>
  <c r="G13" i="33" s="1"/>
  <c r="G32" i="33" s="1"/>
  <c r="G164" i="29"/>
  <c r="D18" i="26" l="1"/>
  <c r="E20" i="25"/>
  <c r="E30" i="21"/>
  <c r="C6" i="22"/>
  <c r="C16" i="22" s="1"/>
  <c r="D165" i="29"/>
  <c r="D166" i="29"/>
  <c r="C56" i="30"/>
  <c r="C57" i="30" s="1"/>
  <c r="H185" i="29"/>
  <c r="E19" i="25"/>
  <c r="D17" i="26"/>
  <c r="C186" i="29"/>
  <c r="C169" i="29"/>
  <c r="C32" i="22" l="1"/>
  <c r="C33" i="22" s="1"/>
  <c r="D4" i="22" s="1"/>
  <c r="C11" i="27"/>
  <c r="C17" i="27"/>
  <c r="E21" i="25"/>
  <c r="C15" i="27"/>
  <c r="D19" i="26"/>
  <c r="D32" i="20"/>
  <c r="D168" i="29"/>
  <c r="D183" i="29" s="1"/>
  <c r="D167" i="29"/>
  <c r="D186" i="29" s="1"/>
  <c r="C102" i="30"/>
  <c r="C100" i="30" s="1"/>
  <c r="C98" i="30" s="1"/>
  <c r="D169" i="29"/>
  <c r="C184" i="29"/>
  <c r="C58" i="30"/>
  <c r="K57" i="30"/>
  <c r="E165" i="29"/>
  <c r="E166" i="29"/>
  <c r="D184" i="29" l="1"/>
  <c r="D102" i="30"/>
  <c r="D100" i="30" s="1"/>
  <c r="D98" i="30" s="1"/>
  <c r="E31" i="20"/>
  <c r="D27" i="20"/>
  <c r="F166" i="29"/>
  <c r="F165" i="29"/>
  <c r="E167" i="29"/>
  <c r="E186" i="29" s="1"/>
  <c r="E168" i="29"/>
  <c r="E183" i="29" s="1"/>
  <c r="C12" i="33"/>
  <c r="G199" i="29"/>
  <c r="H200" i="29" s="1"/>
  <c r="C7" i="28"/>
  <c r="C8" i="28" s="1"/>
  <c r="C9" i="28" s="1"/>
  <c r="D15" i="30"/>
  <c r="H193" i="29"/>
  <c r="H194" i="29" s="1"/>
  <c r="G166" i="29" l="1"/>
  <c r="G165" i="29"/>
  <c r="H201" i="29"/>
  <c r="C14" i="33"/>
  <c r="C10" i="35" s="1"/>
  <c r="D11" i="35" s="1"/>
  <c r="C31" i="33"/>
  <c r="F167" i="29"/>
  <c r="F186" i="29" s="1"/>
  <c r="F168" i="29"/>
  <c r="F183" i="29" s="1"/>
  <c r="E169" i="29"/>
  <c r="D48" i="30"/>
  <c r="D47" i="30" s="1"/>
  <c r="L47" i="30" s="1"/>
  <c r="D18" i="30"/>
  <c r="D29" i="33"/>
  <c r="E15" i="30"/>
  <c r="I193" i="29"/>
  <c r="I194" i="29" s="1"/>
  <c r="D7" i="28"/>
  <c r="D8" i="28" s="1"/>
  <c r="D9" i="28" s="1"/>
  <c r="D26" i="20"/>
  <c r="C22" i="24"/>
  <c r="C14" i="27"/>
  <c r="D12" i="33"/>
  <c r="H199" i="29"/>
  <c r="I200" i="29" s="1"/>
  <c r="D31" i="33" l="1"/>
  <c r="D14" i="33"/>
  <c r="D10" i="35" s="1"/>
  <c r="E11" i="35" s="1"/>
  <c r="F15" i="30"/>
  <c r="E7" i="28"/>
  <c r="E8" i="28" s="1"/>
  <c r="E9" i="28" s="1"/>
  <c r="J193" i="29"/>
  <c r="J194" i="29" s="1"/>
  <c r="D164" i="30"/>
  <c r="D165" i="30"/>
  <c r="D160" i="30"/>
  <c r="D44" i="30"/>
  <c r="D26" i="33"/>
  <c r="D27" i="33" s="1"/>
  <c r="D28" i="33" s="1"/>
  <c r="D33" i="33" s="1"/>
  <c r="D37" i="33" s="1"/>
  <c r="C13" i="27"/>
  <c r="C21" i="24"/>
  <c r="D23" i="20"/>
  <c r="E18" i="30"/>
  <c r="E29" i="33"/>
  <c r="E48" i="30"/>
  <c r="E47" i="30" s="1"/>
  <c r="M47" i="30" s="1"/>
  <c r="F169" i="29"/>
  <c r="E184" i="29"/>
  <c r="E102" i="30"/>
  <c r="E100" i="30" s="1"/>
  <c r="E98" i="30" s="1"/>
  <c r="C9" i="27"/>
  <c r="I201" i="29"/>
  <c r="G167" i="29"/>
  <c r="G186" i="29" s="1"/>
  <c r="H186" i="29" s="1"/>
  <c r="B12" i="28" s="1"/>
  <c r="E13" i="28" s="1"/>
  <c r="G168" i="29"/>
  <c r="G183" i="29" s="1"/>
  <c r="E12" i="33" l="1"/>
  <c r="I199" i="29"/>
  <c r="J200" i="29" s="1"/>
  <c r="G169" i="29"/>
  <c r="F102" i="30"/>
  <c r="F100" i="30" s="1"/>
  <c r="F98" i="30" s="1"/>
  <c r="F184" i="29"/>
  <c r="F7" i="28"/>
  <c r="F8" i="28" s="1"/>
  <c r="F9" i="28" s="1"/>
  <c r="G15" i="30"/>
  <c r="K193" i="29"/>
  <c r="E165" i="30"/>
  <c r="E44" i="30"/>
  <c r="E164" i="30"/>
  <c r="E160" i="30"/>
  <c r="E26" i="33"/>
  <c r="E27" i="33" s="1"/>
  <c r="E28" i="33" s="1"/>
  <c r="F48" i="30"/>
  <c r="F47" i="30" s="1"/>
  <c r="N47" i="30" s="1"/>
  <c r="F29" i="33"/>
  <c r="F18" i="30"/>
  <c r="C71" i="29"/>
  <c r="C72" i="29" s="1"/>
  <c r="C5" i="27"/>
  <c r="D14" i="20"/>
  <c r="F24" i="21"/>
  <c r="C17" i="24"/>
  <c r="C12" i="46"/>
  <c r="C13" i="46" s="1"/>
  <c r="C14" i="46" s="1"/>
  <c r="C15" i="46" s="1"/>
  <c r="C16" i="46" s="1"/>
  <c r="C17" i="46" s="1"/>
  <c r="C199" i="29" s="1"/>
  <c r="D200" i="29" s="1"/>
  <c r="D201" i="29" s="1"/>
  <c r="C6" i="27"/>
  <c r="D45" i="30"/>
  <c r="D46" i="30"/>
  <c r="J201" i="29"/>
  <c r="F165" i="30" l="1"/>
  <c r="F164" i="30"/>
  <c r="F44" i="30"/>
  <c r="F26" i="33"/>
  <c r="F27" i="33" s="1"/>
  <c r="F28" i="33" s="1"/>
  <c r="F160" i="30"/>
  <c r="G195" i="29"/>
  <c r="K194" i="29"/>
  <c r="J20" i="33"/>
  <c r="D4" i="20"/>
  <c r="C7" i="27"/>
  <c r="C12" i="24"/>
  <c r="D12" i="23"/>
  <c r="G48" i="30"/>
  <c r="G47" i="30" s="1"/>
  <c r="O47" i="30" s="1"/>
  <c r="G29" i="33"/>
  <c r="G18" i="30"/>
  <c r="E46" i="30"/>
  <c r="E45" i="30"/>
  <c r="F26" i="21"/>
  <c r="F15" i="25"/>
  <c r="D7" i="39"/>
  <c r="E13" i="26"/>
  <c r="G102" i="30"/>
  <c r="G100" i="30" s="1"/>
  <c r="G98" i="30" s="1"/>
  <c r="G184" i="29"/>
  <c r="D16" i="33"/>
  <c r="L46" i="30"/>
  <c r="L54" i="30" s="1"/>
  <c r="L58" i="30" s="1"/>
  <c r="D54" i="30"/>
  <c r="D58" i="30" s="1"/>
  <c r="C74" i="29"/>
  <c r="C73" i="29" s="1"/>
  <c r="C80" i="29" s="1"/>
  <c r="C84" i="29" s="1"/>
  <c r="F12" i="33"/>
  <c r="J199" i="29"/>
  <c r="K200" i="29" s="1"/>
  <c r="E14" i="33"/>
  <c r="E31" i="33"/>
  <c r="E33" i="33" s="1"/>
  <c r="E37" i="33" s="1"/>
  <c r="E10" i="35" l="1"/>
  <c r="F11" i="35" s="1"/>
  <c r="D20" i="33"/>
  <c r="D22" i="33"/>
  <c r="D21" i="33"/>
  <c r="D9" i="35"/>
  <c r="D12" i="35" s="1"/>
  <c r="D16" i="35" s="1"/>
  <c r="E54" i="30"/>
  <c r="E58" i="30" s="1"/>
  <c r="M46" i="30"/>
  <c r="M54" i="30" s="1"/>
  <c r="M58" i="30" s="1"/>
  <c r="E16" i="33"/>
  <c r="E21" i="33" s="1"/>
  <c r="G12" i="33"/>
  <c r="K199" i="29"/>
  <c r="J21" i="33" s="1"/>
  <c r="G26" i="33"/>
  <c r="G27" i="33" s="1"/>
  <c r="G28" i="33" s="1"/>
  <c r="G160" i="30"/>
  <c r="G164" i="30"/>
  <c r="G44" i="30"/>
  <c r="G45" i="30" s="1"/>
  <c r="G46" i="30" s="1"/>
  <c r="G165" i="30"/>
  <c r="F45" i="30"/>
  <c r="F46" i="30"/>
  <c r="F14" i="33"/>
  <c r="F31" i="33"/>
  <c r="F17" i="25"/>
  <c r="E15" i="26"/>
  <c r="F27" i="21"/>
  <c r="F33" i="33"/>
  <c r="F37" i="33" s="1"/>
  <c r="K201" i="29"/>
  <c r="D15" i="23"/>
  <c r="D4" i="23"/>
  <c r="D5" i="23"/>
  <c r="D13" i="23"/>
  <c r="D9" i="23"/>
  <c r="D6" i="23"/>
  <c r="D28" i="23"/>
  <c r="D18" i="23"/>
  <c r="D26" i="23"/>
  <c r="D27" i="23"/>
  <c r="D29" i="23"/>
  <c r="D25" i="23"/>
  <c r="D23" i="23"/>
  <c r="D24" i="23"/>
  <c r="D11" i="23"/>
  <c r="D8" i="23"/>
  <c r="D7" i="23"/>
  <c r="D10" i="23"/>
  <c r="D30" i="23"/>
  <c r="C4" i="24"/>
  <c r="D14" i="23"/>
  <c r="D16" i="23"/>
  <c r="D22" i="23"/>
  <c r="D21" i="23"/>
  <c r="D17" i="23"/>
  <c r="E16" i="26" l="1"/>
  <c r="D5" i="39"/>
  <c r="D13" i="39" s="1"/>
  <c r="D16" i="39" s="1"/>
  <c r="D18" i="39" s="1"/>
  <c r="D10" i="27"/>
  <c r="F18" i="25"/>
  <c r="F28" i="21"/>
  <c r="F10" i="35"/>
  <c r="G11" i="35" s="1"/>
  <c r="G16" i="33"/>
  <c r="O46" i="30"/>
  <c r="O54" i="30" s="1"/>
  <c r="O58" i="30" s="1"/>
  <c r="G54" i="30"/>
  <c r="G58" i="30" s="1"/>
  <c r="F16" i="33"/>
  <c r="N46" i="30"/>
  <c r="N54" i="30" s="1"/>
  <c r="N58" i="30" s="1"/>
  <c r="F54" i="30"/>
  <c r="F58" i="30" s="1"/>
  <c r="G31" i="33"/>
  <c r="G33" i="33" s="1"/>
  <c r="G37" i="33" s="1"/>
  <c r="G14" i="33"/>
  <c r="B42" i="33"/>
  <c r="C42" i="33" s="1"/>
  <c r="E22" i="33"/>
  <c r="E9" i="35"/>
  <c r="E12" i="35" s="1"/>
  <c r="E16" i="35" s="1"/>
  <c r="E20" i="33"/>
  <c r="D42" i="33" l="1"/>
  <c r="C20" i="35"/>
  <c r="C23" i="35" s="1"/>
  <c r="C27" i="35" s="1"/>
  <c r="C44" i="33"/>
  <c r="G21" i="33"/>
  <c r="G10" i="35"/>
  <c r="B21" i="35" s="1"/>
  <c r="C22" i="35" s="1"/>
  <c r="B43" i="33"/>
  <c r="C43" i="33" s="1"/>
  <c r="G9" i="35"/>
  <c r="G20" i="33"/>
  <c r="G22" i="33"/>
  <c r="B44" i="33" s="1"/>
  <c r="I20" i="33"/>
  <c r="F20" i="33"/>
  <c r="F22" i="33"/>
  <c r="F9" i="35"/>
  <c r="F12" i="35" s="1"/>
  <c r="F16" i="35" s="1"/>
  <c r="F21" i="33"/>
  <c r="F29" i="21"/>
  <c r="F19" i="25"/>
  <c r="E17" i="26"/>
  <c r="G12" i="35" l="1"/>
  <c r="G16" i="35" s="1"/>
  <c r="B20" i="35"/>
  <c r="C21" i="35"/>
  <c r="D22" i="35" s="1"/>
  <c r="D43" i="33"/>
  <c r="D45" i="33" s="1"/>
  <c r="D49" i="33" s="1"/>
  <c r="C45" i="33"/>
  <c r="C49" i="33" s="1"/>
  <c r="E18" i="26"/>
  <c r="F20" i="25"/>
  <c r="D6" i="22"/>
  <c r="D16" i="22" s="1"/>
  <c r="F30" i="21"/>
  <c r="E42" i="33"/>
  <c r="D44" i="33"/>
  <c r="D20" i="35"/>
  <c r="D32" i="22" l="1"/>
  <c r="D33" i="22" s="1"/>
  <c r="E4" i="22" s="1"/>
  <c r="D11" i="27"/>
  <c r="D17" i="27"/>
  <c r="E20" i="35"/>
  <c r="E23" i="35" s="1"/>
  <c r="E27" i="35" s="1"/>
  <c r="F42" i="33"/>
  <c r="E44" i="33"/>
  <c r="D21" i="35"/>
  <c r="E22" i="35" s="1"/>
  <c r="E43" i="33"/>
  <c r="D23" i="35"/>
  <c r="D27" i="35" s="1"/>
  <c r="D15" i="27"/>
  <c r="F21" i="25"/>
  <c r="E32" i="20"/>
  <c r="E19" i="26"/>
  <c r="F44" i="33" l="1"/>
  <c r="F20" i="35"/>
  <c r="G42" i="33"/>
  <c r="F31" i="20"/>
  <c r="E27" i="20"/>
  <c r="E21" i="35"/>
  <c r="F22" i="35" s="1"/>
  <c r="F43" i="33"/>
  <c r="E45" i="33"/>
  <c r="E49" i="33" s="1"/>
  <c r="G20" i="35" l="1"/>
  <c r="G44" i="33"/>
  <c r="C53" i="33" s="1"/>
  <c r="C54" i="33" s="1"/>
  <c r="D22" i="24"/>
  <c r="E26" i="20"/>
  <c r="D9" i="27"/>
  <c r="D14" i="27"/>
  <c r="F23" i="35"/>
  <c r="F27" i="35" s="1"/>
  <c r="C37" i="35" s="1"/>
  <c r="F21" i="35"/>
  <c r="G22" i="35" s="1"/>
  <c r="G43" i="33"/>
  <c r="G21" i="35" s="1"/>
  <c r="C56" i="33"/>
  <c r="C57" i="33" s="1"/>
  <c r="C59" i="33" s="1"/>
  <c r="F45" i="33"/>
  <c r="F49" i="33" s="1"/>
  <c r="C63" i="33"/>
  <c r="D13" i="27" l="1"/>
  <c r="D21" i="24"/>
  <c r="E23" i="20"/>
  <c r="G45" i="33"/>
  <c r="C58" i="33"/>
  <c r="C64" i="33" s="1"/>
  <c r="G23" i="35"/>
  <c r="C33" i="35" s="1"/>
  <c r="C38" i="35" s="1"/>
  <c r="D12" i="46" l="1"/>
  <c r="D13" i="46" s="1"/>
  <c r="D14" i="46" s="1"/>
  <c r="D15" i="46" s="1"/>
  <c r="D16" i="46" s="1"/>
  <c r="D17" i="46" s="1"/>
  <c r="D199" i="29" s="1"/>
  <c r="E200" i="29" s="1"/>
  <c r="E201" i="29" s="1"/>
  <c r="D6" i="27"/>
  <c r="D17" i="24"/>
  <c r="G24" i="21"/>
  <c r="D5" i="27"/>
  <c r="E14" i="20"/>
  <c r="D71" i="29"/>
  <c r="D72" i="29" s="1"/>
  <c r="D74" i="29" s="1"/>
  <c r="D73" i="29" s="1"/>
  <c r="D80" i="29" s="1"/>
  <c r="D84" i="29" s="1"/>
  <c r="E4" i="20" l="1"/>
  <c r="D7" i="27"/>
  <c r="D12" i="24"/>
  <c r="E12" i="23"/>
  <c r="F13" i="26"/>
  <c r="G15" i="25"/>
  <c r="G26" i="21"/>
  <c r="E7" i="39"/>
  <c r="F15" i="26" l="1"/>
  <c r="G27" i="21"/>
  <c r="G17" i="25"/>
  <c r="E8" i="23"/>
  <c r="E6" i="23"/>
  <c r="E15" i="23"/>
  <c r="E27" i="23"/>
  <c r="E13" i="23"/>
  <c r="E16" i="23"/>
  <c r="E26" i="23"/>
  <c r="E23" i="23"/>
  <c r="E28" i="23"/>
  <c r="E25" i="23"/>
  <c r="E18" i="23"/>
  <c r="E4" i="23"/>
  <c r="E11" i="23"/>
  <c r="E10" i="23"/>
  <c r="D4" i="24"/>
  <c r="E14" i="23"/>
  <c r="E30" i="23"/>
  <c r="E7" i="23"/>
  <c r="E9" i="23"/>
  <c r="E29" i="23"/>
  <c r="E24" i="23"/>
  <c r="E5" i="23"/>
  <c r="E22" i="23"/>
  <c r="E21" i="23"/>
  <c r="E17" i="23"/>
  <c r="G28" i="21" l="1"/>
  <c r="G29" i="21"/>
  <c r="F16" i="26"/>
  <c r="G18" i="25"/>
  <c r="E10" i="27"/>
  <c r="E5" i="39"/>
  <c r="E13" i="39" s="1"/>
  <c r="E16" i="39" s="1"/>
  <c r="E18" i="39" s="1"/>
  <c r="F18" i="26" l="1"/>
  <c r="E6" i="22"/>
  <c r="E16" i="22" s="1"/>
  <c r="G20" i="25"/>
  <c r="G30" i="21"/>
  <c r="G19" i="25"/>
  <c r="F17" i="26"/>
  <c r="F19" i="26" l="1"/>
  <c r="F32" i="20"/>
  <c r="E15" i="27"/>
  <c r="G21" i="25"/>
  <c r="E32" i="22"/>
  <c r="E33" i="22" s="1"/>
  <c r="F4" i="22" s="1"/>
  <c r="B39" i="30" s="1"/>
  <c r="E11" i="27"/>
  <c r="E17" i="27"/>
  <c r="F27" i="20" l="1"/>
  <c r="G31" i="20"/>
  <c r="B126" i="30" s="1"/>
  <c r="F26" i="20" l="1"/>
  <c r="E22" i="24"/>
  <c r="E14" i="27"/>
  <c r="E9" i="27" l="1"/>
  <c r="F23" i="20"/>
  <c r="E21" i="24"/>
  <c r="E13" i="27"/>
  <c r="E17" i="24" l="1"/>
  <c r="E71" i="29"/>
  <c r="E6" i="27"/>
  <c r="H24" i="21"/>
  <c r="E5" i="27"/>
  <c r="E12" i="46"/>
  <c r="E13" i="46" s="1"/>
  <c r="E14" i="46" s="1"/>
  <c r="E15" i="46" s="1"/>
  <c r="E16" i="46" s="1"/>
  <c r="E17" i="46" s="1"/>
  <c r="E199" i="29" s="1"/>
  <c r="F14" i="20"/>
  <c r="H26" i="21" l="1"/>
  <c r="H15" i="25"/>
  <c r="F7" i="39"/>
  <c r="B27" i="30"/>
  <c r="G13" i="26"/>
  <c r="E7" i="27"/>
  <c r="E12" i="24"/>
  <c r="F4" i="20"/>
  <c r="B165" i="30"/>
  <c r="B22" i="33"/>
  <c r="F200" i="29"/>
  <c r="F201" i="29" s="1"/>
  <c r="E72" i="29"/>
  <c r="E74" i="29" s="1"/>
  <c r="E73" i="29" s="1"/>
  <c r="E80" i="29" s="1"/>
  <c r="E84" i="29" s="1"/>
  <c r="F9" i="23" l="1"/>
  <c r="F11" i="23"/>
  <c r="F18" i="23"/>
  <c r="F27" i="23"/>
  <c r="F6" i="23"/>
  <c r="F24" i="23"/>
  <c r="F13" i="23"/>
  <c r="F5" i="23"/>
  <c r="F10" i="23"/>
  <c r="F4" i="23"/>
  <c r="F16" i="23"/>
  <c r="F15" i="23"/>
  <c r="F25" i="23"/>
  <c r="F28" i="23"/>
  <c r="F26" i="23"/>
  <c r="F29" i="23"/>
  <c r="F23" i="23"/>
  <c r="F30" i="23"/>
  <c r="F14" i="23"/>
  <c r="F8" i="23"/>
  <c r="F7" i="23"/>
  <c r="E4" i="24"/>
  <c r="F22" i="23"/>
  <c r="F21" i="23"/>
  <c r="F17" i="23"/>
  <c r="J39" i="30"/>
  <c r="B68" i="30"/>
  <c r="B29" i="30"/>
  <c r="B33" i="30" s="1"/>
  <c r="F12" i="23"/>
  <c r="H27" i="21"/>
  <c r="G15" i="26"/>
  <c r="H17" i="25"/>
  <c r="H18" i="25" l="1"/>
  <c r="F5" i="39"/>
  <c r="F13" i="39" s="1"/>
  <c r="F16" i="39" s="1"/>
  <c r="F18" i="39" s="1"/>
  <c r="G18" i="39" s="1"/>
  <c r="B20" i="39" s="1"/>
  <c r="F10" i="27"/>
  <c r="H28" i="21"/>
  <c r="G16" i="26"/>
  <c r="B153" i="30"/>
  <c r="B22" i="39" l="1"/>
  <c r="B23" i="39"/>
  <c r="B24" i="39" s="1"/>
  <c r="H29" i="21"/>
  <c r="H19" i="25"/>
  <c r="B34" i="30"/>
  <c r="G17" i="26"/>
  <c r="F6" i="22" l="1"/>
  <c r="F16" i="22" s="1"/>
  <c r="G18" i="26"/>
  <c r="H30" i="21"/>
  <c r="H20" i="25"/>
  <c r="B69" i="30"/>
  <c r="B66" i="30" s="1"/>
  <c r="B35" i="30"/>
  <c r="B25" i="39"/>
  <c r="B30" i="39" s="1"/>
  <c r="B32" i="39" s="1"/>
  <c r="F15" i="27" l="1"/>
  <c r="G32" i="20"/>
  <c r="G27" i="20" s="1"/>
  <c r="H21" i="25"/>
  <c r="F14" i="27"/>
  <c r="G19" i="26"/>
  <c r="B159" i="30"/>
  <c r="B127" i="30"/>
  <c r="B122" i="30" s="1"/>
  <c r="B158" i="30"/>
  <c r="B75" i="30"/>
  <c r="B92" i="30" s="1"/>
  <c r="B93" i="30" s="1"/>
  <c r="B144" i="30"/>
  <c r="F32" i="22"/>
  <c r="F33" i="22" s="1"/>
  <c r="F17" i="27"/>
  <c r="F11" i="27"/>
  <c r="B161" i="30" l="1"/>
  <c r="B154" i="30"/>
  <c r="F22" i="24"/>
  <c r="F9" i="27"/>
  <c r="C20" i="40"/>
  <c r="G26" i="20"/>
  <c r="B121" i="30"/>
  <c r="B157" i="30" s="1"/>
  <c r="B6" i="38"/>
  <c r="B10" i="38" s="1"/>
  <c r="C39" i="30"/>
  <c r="B115" i="30"/>
  <c r="B152" i="30" l="1"/>
  <c r="F21" i="24"/>
  <c r="G23" i="20"/>
  <c r="F13" i="27"/>
  <c r="B148" i="30"/>
  <c r="B147" i="30"/>
  <c r="C27" i="30"/>
  <c r="B109" i="30"/>
  <c r="C68" i="30" l="1"/>
  <c r="C29" i="30"/>
  <c r="C33" i="30" s="1"/>
  <c r="G14" i="20"/>
  <c r="F17" i="24"/>
  <c r="F5" i="27"/>
  <c r="F71" i="29"/>
  <c r="F72" i="29" s="1"/>
  <c r="F6" i="27"/>
  <c r="F12" i="46"/>
  <c r="F13" i="46" s="1"/>
  <c r="F14" i="46" s="1"/>
  <c r="F15" i="46" s="1"/>
  <c r="F16" i="46" s="1"/>
  <c r="F17" i="46" s="1"/>
  <c r="F199" i="29" s="1"/>
  <c r="B97" i="30"/>
  <c r="B149" i="30"/>
  <c r="F74" i="29" l="1"/>
  <c r="B6" i="33" s="1"/>
  <c r="B8" i="33" s="1"/>
  <c r="B9" i="33" s="1"/>
  <c r="C68" i="33" s="1"/>
  <c r="F73" i="29"/>
  <c r="C34" i="30"/>
  <c r="C69" i="30" s="1"/>
  <c r="C66" i="30" s="1"/>
  <c r="C153" i="30"/>
  <c r="D18" i="47"/>
  <c r="E18" i="47" s="1"/>
  <c r="F18" i="47" s="1"/>
  <c r="H21" i="33"/>
  <c r="C165" i="30"/>
  <c r="G200" i="29"/>
  <c r="G201" i="29" s="1"/>
  <c r="F7" i="27"/>
  <c r="F12" i="24"/>
  <c r="G4" i="20"/>
  <c r="C144" i="30" l="1"/>
  <c r="C75" i="30"/>
  <c r="G9" i="23"/>
  <c r="G16" i="23"/>
  <c r="G4" i="23"/>
  <c r="G28" i="23"/>
  <c r="G29" i="23"/>
  <c r="G14" i="23"/>
  <c r="F4" i="24"/>
  <c r="G23" i="23"/>
  <c r="G26" i="23"/>
  <c r="G13" i="23"/>
  <c r="G11" i="23"/>
  <c r="G27" i="23"/>
  <c r="G7" i="23"/>
  <c r="G30" i="23"/>
  <c r="G8" i="23"/>
  <c r="G18" i="23"/>
  <c r="G24" i="23"/>
  <c r="G10" i="23"/>
  <c r="G5" i="23"/>
  <c r="G15" i="23"/>
  <c r="G6" i="23"/>
  <c r="G25" i="23"/>
  <c r="G22" i="23"/>
  <c r="G21" i="23"/>
  <c r="G17" i="23"/>
  <c r="G18" i="47"/>
  <c r="C16" i="40" s="1"/>
  <c r="J50" i="30"/>
  <c r="J54" i="30" s="1"/>
  <c r="J58" i="30" s="1"/>
  <c r="J92" i="30" s="1"/>
  <c r="J93" i="30" s="1"/>
  <c r="F80" i="29"/>
  <c r="K50" i="30"/>
  <c r="K54" i="30" s="1"/>
  <c r="K58" i="30" s="1"/>
  <c r="J116" i="30"/>
  <c r="G12" i="23"/>
  <c r="C35" i="30"/>
  <c r="C8" i="47"/>
  <c r="C44" i="35"/>
  <c r="B33" i="39"/>
  <c r="B34" i="39" s="1"/>
  <c r="C5" i="40" s="1"/>
  <c r="G12" i="47" l="1"/>
  <c r="C11" i="40" s="1"/>
  <c r="G17" i="47"/>
  <c r="C15" i="40" s="1"/>
  <c r="G16" i="47"/>
  <c r="C14" i="40" s="1"/>
  <c r="G15" i="47"/>
  <c r="C13" i="40" s="1"/>
  <c r="C127" i="30"/>
  <c r="C87" i="30"/>
  <c r="C159" i="30"/>
  <c r="B116" i="30"/>
  <c r="B117" i="30" s="1"/>
  <c r="F84" i="29"/>
  <c r="K39" i="30"/>
  <c r="J117" i="30"/>
  <c r="J115" i="30" s="1"/>
  <c r="C161" i="30"/>
  <c r="C154" i="30"/>
  <c r="C126" i="30" l="1"/>
  <c r="C85" i="30"/>
  <c r="C88" i="30" s="1"/>
  <c r="G85" i="29"/>
  <c r="E14" i="28" s="1"/>
  <c r="B85" i="29"/>
  <c r="B13" i="33"/>
  <c r="C92" i="30" l="1"/>
  <c r="C93" i="30" s="1"/>
  <c r="K92" i="30"/>
  <c r="K93" i="30" s="1"/>
  <c r="C32" i="33"/>
  <c r="C33" i="33" s="1"/>
  <c r="C37" i="33" s="1"/>
  <c r="C62" i="33" s="1"/>
  <c r="C65" i="33" s="1"/>
  <c r="C67" i="33" s="1"/>
  <c r="B14" i="33"/>
  <c r="C122" i="30"/>
  <c r="B10" i="35" l="1"/>
  <c r="C22" i="33"/>
  <c r="C21" i="33"/>
  <c r="B21" i="33"/>
  <c r="I21" i="33"/>
  <c r="K117" i="30"/>
  <c r="K115" i="30" s="1"/>
  <c r="L39" i="30"/>
  <c r="C74" i="33"/>
  <c r="C73" i="33"/>
  <c r="C69" i="33"/>
  <c r="C72" i="33"/>
  <c r="C152" i="30"/>
  <c r="C121" i="30"/>
  <c r="C157" i="30" s="1"/>
  <c r="C158" i="30"/>
  <c r="D39" i="30"/>
  <c r="C115" i="30"/>
  <c r="C147" i="30" l="1"/>
  <c r="C109" i="30"/>
  <c r="C117" i="30"/>
  <c r="D27" i="30"/>
  <c r="C8" i="33"/>
  <c r="C9" i="33" s="1"/>
  <c r="C148" i="30"/>
  <c r="C75" i="33"/>
  <c r="C3" i="40"/>
  <c r="C27" i="40" s="1"/>
  <c r="C76" i="33"/>
  <c r="C40" i="35"/>
  <c r="D13" i="47" s="1"/>
  <c r="F13" i="47" s="1"/>
  <c r="G13" i="47" s="1"/>
  <c r="C12" i="40" s="1"/>
  <c r="C11" i="35"/>
  <c r="C12" i="35" s="1"/>
  <c r="C16" i="35" s="1"/>
  <c r="C36" i="35" s="1"/>
  <c r="C39" i="35" s="1"/>
  <c r="C41" i="35" s="1"/>
  <c r="C43" i="35" s="1"/>
  <c r="C45" i="35" s="1"/>
  <c r="C4" i="40" s="1"/>
  <c r="C97" i="30" l="1"/>
  <c r="C149" i="30"/>
  <c r="C29" i="40"/>
  <c r="C31" i="40"/>
  <c r="D68" i="30"/>
  <c r="D29" i="30"/>
  <c r="D33" i="30" s="1"/>
  <c r="D34" i="30" l="1"/>
  <c r="D69" i="30" s="1"/>
  <c r="D66" i="30" s="1"/>
  <c r="D153" i="30"/>
  <c r="D75" i="30" l="1"/>
  <c r="D144" i="30"/>
  <c r="D35" i="30"/>
  <c r="D87" i="30" l="1"/>
  <c r="D159" i="30"/>
  <c r="D127" i="30"/>
  <c r="D154" i="30"/>
  <c r="D161" i="30"/>
  <c r="D85" i="30" l="1"/>
  <c r="D88" i="30" s="1"/>
  <c r="D126" i="30"/>
  <c r="D122" i="30" l="1"/>
  <c r="D92" i="30"/>
  <c r="D93" i="30" s="1"/>
  <c r="L92" i="30"/>
  <c r="L93" i="30" s="1"/>
  <c r="L117" i="30" l="1"/>
  <c r="L115" i="30" s="1"/>
  <c r="M39" i="30"/>
  <c r="E39" i="30"/>
  <c r="D115" i="30"/>
  <c r="D121" i="30"/>
  <c r="D157" i="30" s="1"/>
  <c r="D152" i="30"/>
  <c r="D158" i="30"/>
  <c r="D117" i="30" l="1"/>
  <c r="D8" i="33"/>
  <c r="D9" i="33" s="1"/>
  <c r="D147" i="30"/>
  <c r="D148" i="30"/>
  <c r="E27" i="30"/>
  <c r="D109" i="30"/>
  <c r="D149" i="30" l="1"/>
  <c r="D97" i="30"/>
  <c r="E68" i="30"/>
  <c r="E29" i="30"/>
  <c r="E33" i="30" s="1"/>
  <c r="E153" i="30" l="1"/>
  <c r="E34" i="30"/>
  <c r="E69" i="30" s="1"/>
  <c r="E66" i="30"/>
  <c r="E75" i="30" l="1"/>
  <c r="E144" i="30"/>
  <c r="E35" i="30"/>
  <c r="E161" i="30" l="1"/>
  <c r="E154" i="30"/>
  <c r="E159" i="30"/>
  <c r="E87" i="30"/>
  <c r="E127" i="30"/>
  <c r="E85" i="30" l="1"/>
  <c r="E88" i="30" s="1"/>
  <c r="E126" i="30"/>
  <c r="E122" i="30" l="1"/>
  <c r="E92" i="30"/>
  <c r="E93" i="30" s="1"/>
  <c r="M92" i="30"/>
  <c r="M93" i="30" s="1"/>
  <c r="M117" i="30" l="1"/>
  <c r="M115" i="30" s="1"/>
  <c r="N39" i="30"/>
  <c r="E115" i="30"/>
  <c r="F39" i="30"/>
  <c r="E121" i="30"/>
  <c r="E157" i="30" s="1"/>
  <c r="E152" i="30"/>
  <c r="E158" i="30"/>
  <c r="E109" i="30" l="1"/>
  <c r="E148" i="30"/>
  <c r="E117" i="30"/>
  <c r="F27" i="30"/>
  <c r="E147" i="30"/>
  <c r="E8" i="33"/>
  <c r="E9" i="33" s="1"/>
  <c r="F68" i="30" l="1"/>
  <c r="F29" i="30"/>
  <c r="F33" i="30" s="1"/>
  <c r="E149" i="30"/>
  <c r="E97" i="30"/>
  <c r="F34" i="30" l="1"/>
  <c r="F69" i="30" s="1"/>
  <c r="F66" i="30" s="1"/>
  <c r="F153" i="30"/>
  <c r="F35" i="30"/>
  <c r="F159" i="30" l="1"/>
  <c r="F87" i="30"/>
  <c r="F127" i="30"/>
  <c r="F144" i="30"/>
  <c r="F75" i="30"/>
  <c r="F85" i="30" l="1"/>
  <c r="F88" i="30" s="1"/>
  <c r="F92" i="30" s="1"/>
  <c r="F93" i="30" s="1"/>
  <c r="F126" i="30"/>
  <c r="F161" i="30"/>
  <c r="F154" i="30"/>
  <c r="F122" i="30" l="1"/>
  <c r="G39" i="30"/>
  <c r="F115" i="30"/>
  <c r="N92" i="30"/>
  <c r="N93" i="30" s="1"/>
  <c r="F148" i="30" l="1"/>
  <c r="G27" i="30"/>
  <c r="F109" i="30"/>
  <c r="F147" i="30"/>
  <c r="F8" i="33"/>
  <c r="F9" i="33" s="1"/>
  <c r="F117" i="30"/>
  <c r="N117" i="30"/>
  <c r="N115" i="30" s="1"/>
  <c r="O39" i="30"/>
  <c r="F121" i="30"/>
  <c r="F157" i="30" s="1"/>
  <c r="F158" i="30"/>
  <c r="F149" i="30" l="1"/>
  <c r="F97" i="30"/>
  <c r="F152" i="30"/>
  <c r="G29" i="30"/>
  <c r="G33" i="30" s="1"/>
  <c r="G68" i="30"/>
  <c r="G153" i="30" l="1"/>
  <c r="G34" i="30"/>
  <c r="G69" i="30" s="1"/>
  <c r="G66" i="30" s="1"/>
  <c r="G75" i="30" l="1"/>
  <c r="G144" i="30"/>
  <c r="G35" i="30"/>
  <c r="G154" i="30" l="1"/>
  <c r="G161" i="30"/>
  <c r="G127" i="30"/>
  <c r="G159" i="30"/>
  <c r="G87" i="30"/>
  <c r="G85" i="30" l="1"/>
  <c r="G88" i="30" s="1"/>
  <c r="G126" i="30"/>
  <c r="G122" i="30" s="1"/>
  <c r="G121" i="30" l="1"/>
  <c r="G157" i="30" s="1"/>
  <c r="G152" i="30"/>
  <c r="G158" i="30"/>
  <c r="G92" i="30"/>
  <c r="G93" i="30" s="1"/>
  <c r="G115" i="30" s="1"/>
  <c r="O92" i="30"/>
  <c r="O93" i="30" s="1"/>
  <c r="O117" i="30" s="1"/>
  <c r="O115" i="30" s="1"/>
  <c r="G147" i="30" l="1"/>
  <c r="G8" i="33"/>
  <c r="G9" i="33" s="1"/>
  <c r="G117" i="30"/>
  <c r="G148" i="30"/>
  <c r="G109" i="30"/>
  <c r="G97" i="30" l="1"/>
  <c r="G149"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Pavla Maříková</author>
  </authors>
  <commentList>
    <comment ref="F3" authorId="0" shapeId="0" xr:uid="{00000000-0006-0000-0400-000001000000}">
      <text>
        <r>
          <rPr>
            <b/>
            <sz val="9"/>
            <color indexed="81"/>
            <rFont val="Tahoma"/>
            <family val="2"/>
            <charset val="238"/>
          </rPr>
          <t>Miloš Mařík:</t>
        </r>
        <r>
          <rPr>
            <sz val="9"/>
            <color indexed="81"/>
            <rFont val="Tahoma"/>
            <family val="2"/>
            <charset val="238"/>
          </rPr>
          <t xml:space="preserve">
Pouze zboží spadající do sortimentu UNIPO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Mařík Miloš</author>
  </authors>
  <commentList>
    <comment ref="E48" authorId="0" shapeId="0" xr:uid="{00000000-0006-0000-1A00-000001000000}">
      <text>
        <r>
          <rPr>
            <b/>
            <sz val="8"/>
            <color indexed="81"/>
            <rFont val="Tahoma"/>
            <family val="2"/>
            <charset val="238"/>
          </rPr>
          <t>Mařík Miloš:</t>
        </r>
        <r>
          <rPr>
            <sz val="8"/>
            <color indexed="81"/>
            <rFont val="Tahoma"/>
            <family val="2"/>
            <charset val="238"/>
          </rPr>
          <t xml:space="preserve">
Úrokovou míru je třeba převést na desetinný tvar a počet měsíců je třeba přepočítat na roky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Mařík Miloš</author>
  </authors>
  <commentList>
    <comment ref="B34" authorId="0" shapeId="0" xr:uid="{00000000-0006-0000-0700-000001000000}">
      <text>
        <r>
          <rPr>
            <b/>
            <sz val="8"/>
            <color indexed="81"/>
            <rFont val="Tahoma"/>
            <family val="2"/>
            <charset val="238"/>
          </rPr>
          <t>Mařík Miloš:</t>
        </r>
        <r>
          <rPr>
            <sz val="8"/>
            <color indexed="81"/>
            <rFont val="Tahoma"/>
            <family val="2"/>
            <charset val="238"/>
          </rPr>
          <t xml:space="preserve">
Pro účely tohoto ocenění nebudeme nákladové rezervy podniku UNIPO považovat za reálný závazek vůči třetí osobě.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Mařík Miloš</author>
  </authors>
  <commentList>
    <comment ref="A5" authorId="0" shapeId="0" xr:uid="{00000000-0006-0000-0E00-000001000000}">
      <text>
        <r>
          <rPr>
            <b/>
            <sz val="8"/>
            <color indexed="81"/>
            <rFont val="Tahoma"/>
            <family val="2"/>
            <charset val="238"/>
          </rPr>
          <t>Mařík Miloš:</t>
        </r>
        <r>
          <rPr>
            <sz val="8"/>
            <color indexed="81"/>
            <rFont val="Tahoma"/>
            <family val="2"/>
            <charset val="238"/>
          </rPr>
          <t xml:space="preserve">
Peněžní prostředky / (Krátkodobé závazky vč. běžných bank. úvěrů)</t>
        </r>
      </text>
    </comment>
    <comment ref="A6" authorId="0" shapeId="0" xr:uid="{00000000-0006-0000-0E00-000002000000}">
      <text>
        <r>
          <rPr>
            <b/>
            <sz val="8"/>
            <color indexed="81"/>
            <rFont val="Tahoma"/>
            <family val="2"/>
            <charset val="238"/>
          </rPr>
          <t>Mařík Miloš:</t>
        </r>
        <r>
          <rPr>
            <sz val="8"/>
            <color indexed="81"/>
            <rFont val="Tahoma"/>
            <family val="2"/>
            <charset val="238"/>
          </rPr>
          <t xml:space="preserve">
(Peněžní prostředky + Krátkodobý finanční majetek + Krátkodobé pohledávky) / (Krátkodobé závazky vč. běžných bank. úvěrů)</t>
        </r>
      </text>
    </comment>
    <comment ref="A7" authorId="0" shapeId="0" xr:uid="{00000000-0006-0000-0E00-000003000000}">
      <text>
        <r>
          <rPr>
            <b/>
            <sz val="8"/>
            <color indexed="81"/>
            <rFont val="Tahoma"/>
            <family val="2"/>
            <charset val="238"/>
          </rPr>
          <t>Mařík Miloš:</t>
        </r>
        <r>
          <rPr>
            <sz val="8"/>
            <color indexed="81"/>
            <rFont val="Tahoma"/>
            <family val="2"/>
            <charset val="238"/>
          </rPr>
          <t xml:space="preserve">
Oběžná aktiva / (Krátkodobé závazky vč. běžných bank. úvěrů)</t>
        </r>
      </text>
    </comment>
    <comment ref="A9" authorId="0" shapeId="0" xr:uid="{00000000-0006-0000-0E00-000004000000}">
      <text>
        <r>
          <rPr>
            <b/>
            <sz val="8"/>
            <color indexed="81"/>
            <rFont val="Tahoma"/>
            <family val="2"/>
            <charset val="238"/>
          </rPr>
          <t>Mařík Miloš:</t>
        </r>
        <r>
          <rPr>
            <sz val="8"/>
            <color indexed="81"/>
            <rFont val="Tahoma"/>
            <family val="2"/>
            <charset val="238"/>
          </rPr>
          <t xml:space="preserve">
Vlastní kapitál / Pasiva celkem</t>
        </r>
      </text>
    </comment>
    <comment ref="A10" authorId="0" shapeId="0" xr:uid="{00000000-0006-0000-0E00-000005000000}">
      <text>
        <r>
          <rPr>
            <b/>
            <sz val="8"/>
            <color indexed="81"/>
            <rFont val="Tahoma"/>
            <family val="2"/>
            <charset val="238"/>
          </rPr>
          <t>Mařík Miloš:</t>
        </r>
        <r>
          <rPr>
            <sz val="8"/>
            <color indexed="81"/>
            <rFont val="Tahoma"/>
            <family val="2"/>
            <charset val="238"/>
          </rPr>
          <t xml:space="preserve">
(Výsledek hospodaření před zdaněním + Nákladové úroky) / Nákladové úrokoy</t>
        </r>
      </text>
    </comment>
    <comment ref="A11" authorId="0" shapeId="0" xr:uid="{00000000-0006-0000-0E00-000006000000}">
      <text>
        <r>
          <rPr>
            <b/>
            <sz val="8"/>
            <color indexed="81"/>
            <rFont val="Tahoma"/>
            <family val="2"/>
            <charset val="238"/>
          </rPr>
          <t>Mařík Miloš:</t>
        </r>
        <r>
          <rPr>
            <sz val="8"/>
            <color indexed="81"/>
            <rFont val="Tahoma"/>
            <family val="2"/>
            <charset val="238"/>
          </rPr>
          <t xml:space="preserve">
(Cizí zdroje - Nákladové rezervy) / Peněžní tok z provozní činnosti
Poznámka: Čitatel by bylo možné snížit ještě o výši peněz v pokladně a na běžném účtu</t>
        </r>
      </text>
    </comment>
    <comment ref="A13" authorId="0" shapeId="0" xr:uid="{00000000-0006-0000-0E00-000007000000}">
      <text>
        <r>
          <rPr>
            <b/>
            <sz val="8"/>
            <color indexed="81"/>
            <rFont val="Tahoma"/>
            <family val="2"/>
            <charset val="238"/>
          </rPr>
          <t>Mařík Miloš:</t>
        </r>
        <r>
          <rPr>
            <sz val="8"/>
            <color indexed="81"/>
            <rFont val="Tahoma"/>
            <family val="2"/>
            <charset val="238"/>
          </rPr>
          <t xml:space="preserve">
(Výsledek hospodaření před zdaněním + Nákladové úroky) / Pasiva celkem
Poznámka: Aby bylo možné rentabilitu vypočítat pro všechny roky časové řady, jsou ve vzorci použita pasiva ke konci roku. Ekonomicky správnější by však bylo počítat rentabilitu z průměrné výše pasiv během roku, případně z výše pasiv k počátu roku.</t>
        </r>
      </text>
    </comment>
    <comment ref="A14" authorId="0" shapeId="0" xr:uid="{00000000-0006-0000-0E00-000008000000}">
      <text>
        <r>
          <rPr>
            <b/>
            <sz val="8"/>
            <color indexed="81"/>
            <rFont val="Tahoma"/>
            <family val="2"/>
            <charset val="238"/>
          </rPr>
          <t>Mařík Miloš:</t>
        </r>
        <r>
          <rPr>
            <sz val="8"/>
            <color indexed="81"/>
            <rFont val="Tahoma"/>
            <family val="2"/>
            <charset val="238"/>
          </rPr>
          <t xml:space="preserve">
Výsledek hospodaření za účetní období / Vlastní kapitál
Poznámka: Aby bylo možné rentabilitu vypočítat pro všechny roky časové řady, je ve vzorci použit vlastní kapitál ke konci roku. Ekonomicky správnější by však bylo počítat rentabilitu z průměrné výše vlastního kapitálu během roku, případně z výše vlastního kapitálu k počátu roku.</t>
        </r>
      </text>
    </comment>
    <comment ref="A15" authorId="0" shapeId="0" xr:uid="{00000000-0006-0000-0E00-000009000000}">
      <text>
        <r>
          <rPr>
            <b/>
            <sz val="8"/>
            <color indexed="81"/>
            <rFont val="Tahoma"/>
            <family val="2"/>
            <charset val="238"/>
          </rPr>
          <t>Mařík Miloš:</t>
        </r>
        <r>
          <rPr>
            <sz val="8"/>
            <color indexed="81"/>
            <rFont val="Tahoma"/>
            <family val="2"/>
            <charset val="238"/>
          </rPr>
          <t xml:space="preserve">
Výsledek hospodaření za účetní období / Tržby</t>
        </r>
      </text>
    </comment>
    <comment ref="A16" authorId="0" shapeId="0" xr:uid="{00000000-0006-0000-0E00-00000A000000}">
      <text>
        <r>
          <rPr>
            <b/>
            <sz val="8"/>
            <color indexed="81"/>
            <rFont val="Tahoma"/>
            <family val="2"/>
            <charset val="238"/>
          </rPr>
          <t>Mařík Miloš:</t>
        </r>
        <r>
          <rPr>
            <sz val="8"/>
            <color indexed="81"/>
            <rFont val="Tahoma"/>
            <family val="2"/>
            <charset val="238"/>
          </rPr>
          <t xml:space="preserve">
Provozní výsledek hospodaření / Tržby</t>
        </r>
      </text>
    </comment>
    <comment ref="A17" authorId="0" shapeId="0" xr:uid="{00000000-0006-0000-0E00-00000B000000}">
      <text>
        <r>
          <rPr>
            <b/>
            <sz val="8"/>
            <color indexed="81"/>
            <rFont val="Tahoma"/>
            <family val="2"/>
            <charset val="238"/>
          </rPr>
          <t>Mařík Miloš:</t>
        </r>
        <r>
          <rPr>
            <sz val="8"/>
            <color indexed="81"/>
            <rFont val="Tahoma"/>
            <family val="2"/>
            <charset val="238"/>
          </rPr>
          <t xml:space="preserve">
Peněžní tok z provozní činnosti / Tržby</t>
        </r>
      </text>
    </comment>
    <comment ref="A19" authorId="0" shapeId="0" xr:uid="{00000000-0006-0000-0E00-00000C000000}">
      <text>
        <r>
          <rPr>
            <b/>
            <sz val="8"/>
            <color indexed="81"/>
            <rFont val="Tahoma"/>
            <family val="2"/>
            <charset val="238"/>
          </rPr>
          <t>Mařík Miloš:</t>
        </r>
        <r>
          <rPr>
            <sz val="8"/>
            <color indexed="81"/>
            <rFont val="Tahoma"/>
            <family val="2"/>
            <charset val="238"/>
          </rPr>
          <t xml:space="preserve">
Zásoby / (Náklady vynaložené na prodané zboží / 365)
Poznámka: V čitateli jsou pro větší jednoduchost a proto, aby bylo možné dobu obratu počítat pro všechny roky, dosazeny zásoby ke konci roku. Ekonomicky správnější by však bylo dosadit průměrnou výši zásob v daném roce.</t>
        </r>
      </text>
    </comment>
    <comment ref="A20" authorId="0" shapeId="0" xr:uid="{00000000-0006-0000-0E00-00000D000000}">
      <text>
        <r>
          <rPr>
            <b/>
            <sz val="8"/>
            <color indexed="81"/>
            <rFont val="Tahoma"/>
            <family val="2"/>
            <charset val="238"/>
          </rPr>
          <t>Mařík Miloš:</t>
        </r>
        <r>
          <rPr>
            <sz val="8"/>
            <color indexed="81"/>
            <rFont val="Tahoma"/>
            <family val="2"/>
            <charset val="238"/>
          </rPr>
          <t xml:space="preserve">
Krátkodobé pohledávky / (Tržby / 365)
Poznámka 1: V čitateli jsou pro větší jednoduchost a proto, aby bylo možné dobu obratu počítat pro všechny roky, dosazeny pohledávky ke konci roku. Ekonomicky správnější by však bylo dosadit průměrnou výši pohledávek v daném roce.
Poznámka 2: Při dostatku informací a při snaze vyčíslit dobu obratu co nejpřesněji tak, aby opravdu vyjadřovala průměrnou dobu splatnosti pohledávek, by bylo vhodné nedosazovat celé tržby, ale jen tu jejich část, která se realizuje na fakturu a nikoli za hotové.</t>
        </r>
      </text>
    </comment>
    <comment ref="A21" authorId="0" shapeId="0" xr:uid="{00000000-0006-0000-0E00-00000E000000}">
      <text>
        <r>
          <rPr>
            <b/>
            <sz val="8"/>
            <color indexed="81"/>
            <rFont val="Tahoma"/>
            <family val="2"/>
            <charset val="238"/>
          </rPr>
          <t>Mařík Miloš:</t>
        </r>
        <r>
          <rPr>
            <sz val="8"/>
            <color indexed="81"/>
            <rFont val="Tahoma"/>
            <family val="2"/>
            <charset val="238"/>
          </rPr>
          <t xml:space="preserve">
Závazky z obchodních vztahů / Výkonová spotřeba / 365]
Poznámka: V čitateli jsou pro větší jednoduchost a proto, aby bylo možné dobu obratu počítat pro všechny roky, dosazeny závazky ke konci roku. Ekonomicky správnější by však bylo dosadit průměrnou výši závazků v daném roce.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Mařík Miloš</author>
  </authors>
  <commentList>
    <comment ref="A14" authorId="0" shapeId="0" xr:uid="{00000000-0006-0000-0F00-000001000000}">
      <text>
        <r>
          <rPr>
            <b/>
            <sz val="8"/>
            <color indexed="81"/>
            <rFont val="Tahoma"/>
            <family val="2"/>
            <charset val="238"/>
          </rPr>
          <t xml:space="preserve">Mařík Miloš:
</t>
        </r>
        <r>
          <rPr>
            <sz val="8"/>
            <color indexed="81"/>
            <rFont val="Tahoma"/>
            <family val="2"/>
            <charset val="238"/>
          </rPr>
          <t>Maximálně 0,15</t>
        </r>
      </text>
    </comment>
    <comment ref="A15" authorId="0" shapeId="0" xr:uid="{00000000-0006-0000-0F00-000002000000}">
      <text>
        <r>
          <rPr>
            <b/>
            <sz val="8"/>
            <color indexed="81"/>
            <rFont val="Tahoma"/>
            <family val="2"/>
            <charset val="238"/>
          </rPr>
          <t xml:space="preserve">Mařík Miloš:
</t>
        </r>
        <r>
          <rPr>
            <sz val="8"/>
            <color indexed="81"/>
            <rFont val="Tahoma"/>
            <family val="2"/>
            <charset val="238"/>
          </rPr>
          <t>Provozně nutná likvidita . Krátkodobé závazky</t>
        </r>
      </text>
    </comment>
    <comment ref="A16" authorId="0" shapeId="0" xr:uid="{00000000-0006-0000-0F00-000003000000}">
      <text>
        <r>
          <rPr>
            <b/>
            <sz val="8"/>
            <color indexed="81"/>
            <rFont val="Tahoma"/>
            <family val="2"/>
            <charset val="238"/>
          </rPr>
          <t xml:space="preserve">Mařík Miloš:
</t>
        </r>
        <r>
          <rPr>
            <sz val="8"/>
            <color indexed="81"/>
            <rFont val="Tahoma"/>
            <family val="2"/>
            <charset val="238"/>
          </rPr>
          <t>Oběžná aktiva provozně nutná - Neúročené závazky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Mařík Miloš</author>
  </authors>
  <commentList>
    <comment ref="A200" authorId="0" shapeId="0" xr:uid="{00000000-0006-0000-1000-000001000000}">
      <text>
        <r>
          <rPr>
            <b/>
            <sz val="8"/>
            <color indexed="81"/>
            <rFont val="Tahoma"/>
            <family val="2"/>
            <charset val="238"/>
          </rPr>
          <t>Mařík Miloš:</t>
        </r>
        <r>
          <rPr>
            <sz val="8"/>
            <color indexed="81"/>
            <rFont val="Tahoma"/>
            <family val="2"/>
            <charset val="238"/>
          </rPr>
          <t xml:space="preserve">
Tržby / Investovaný kapitál provozně nutný k začátku roku</t>
        </r>
      </text>
    </comment>
    <comment ref="A201" authorId="0" shapeId="0" xr:uid="{00000000-0006-0000-1000-000002000000}">
      <text>
        <r>
          <rPr>
            <b/>
            <sz val="8"/>
            <color indexed="81"/>
            <rFont val="Tahoma"/>
            <family val="2"/>
            <charset val="238"/>
          </rPr>
          <t xml:space="preserve">Mařík Miloš:
</t>
        </r>
        <r>
          <rPr>
            <sz val="8"/>
            <color indexed="81"/>
            <rFont val="Tahoma"/>
            <family val="2"/>
            <charset val="238"/>
          </rPr>
          <t>Zisková marže x Obrat investovaného kapitálu
= KPVH / Investovaný kapitál k začátku roku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Mařík Miloš</author>
    <author>Pavla Maříková</author>
  </authors>
  <commentList>
    <comment ref="A11" authorId="0" shapeId="0" xr:uid="{00000000-0006-0000-1200-000001000000}">
      <text>
        <r>
          <rPr>
            <b/>
            <sz val="8"/>
            <color indexed="81"/>
            <rFont val="Tahoma"/>
            <family val="2"/>
            <charset val="238"/>
          </rPr>
          <t>Mařík Miloš:</t>
        </r>
        <r>
          <rPr>
            <sz val="8"/>
            <color indexed="81"/>
            <rFont val="Tahoma"/>
            <family val="2"/>
            <charset val="238"/>
          </rPr>
          <t xml:space="preserve">
Převzato z prognózy generátorů hodnoty (část "Prognóza tržeb")</t>
        </r>
      </text>
    </comment>
    <comment ref="A12" authorId="0" shapeId="0" xr:uid="{00000000-0006-0000-1200-000002000000}">
      <text>
        <r>
          <rPr>
            <b/>
            <sz val="8"/>
            <color indexed="81"/>
            <rFont val="Tahoma"/>
            <family val="2"/>
            <charset val="238"/>
          </rPr>
          <t>Mařík Miloš:</t>
        </r>
        <r>
          <rPr>
            <sz val="8"/>
            <color indexed="81"/>
            <rFont val="Tahoma"/>
            <family val="2"/>
            <charset val="238"/>
          </rPr>
          <t xml:space="preserve">
Převzato z prognózy generátorů hodnoty
(část "Prognóza ziskové marže zdola)</t>
        </r>
      </text>
    </comment>
    <comment ref="A13" authorId="0" shapeId="0" xr:uid="{00000000-0006-0000-1200-000003000000}">
      <text>
        <r>
          <rPr>
            <b/>
            <sz val="8"/>
            <color indexed="81"/>
            <rFont val="Tahoma"/>
            <family val="2"/>
            <charset val="238"/>
          </rPr>
          <t>Mařík Miloš:</t>
        </r>
        <r>
          <rPr>
            <sz val="8"/>
            <color indexed="81"/>
            <rFont val="Tahoma"/>
            <family val="2"/>
            <charset val="238"/>
          </rPr>
          <t xml:space="preserve">
Převzato z prognózy generátorů hodnoty
(část "Prognóza ziskové marže zdola)</t>
        </r>
      </text>
    </comment>
    <comment ref="A14" authorId="0" shapeId="0" xr:uid="{00000000-0006-0000-1200-000004000000}">
      <text>
        <r>
          <rPr>
            <b/>
            <sz val="8"/>
            <color indexed="81"/>
            <rFont val="Tahoma"/>
            <family val="2"/>
            <charset val="238"/>
          </rPr>
          <t>Mařík Miloš:</t>
        </r>
        <r>
          <rPr>
            <sz val="8"/>
            <color indexed="81"/>
            <rFont val="Tahoma"/>
            <family val="2"/>
            <charset val="238"/>
          </rPr>
          <t xml:space="preserve">
Převzato z prognózy generátorů hodnoty
(část "Prognóza ziskové marže zdola)</t>
        </r>
      </text>
    </comment>
    <comment ref="A15" authorId="0" shapeId="0" xr:uid="{00000000-0006-0000-1200-000005000000}">
      <text>
        <r>
          <rPr>
            <b/>
            <sz val="8"/>
            <color indexed="81"/>
            <rFont val="Tahoma"/>
            <family val="2"/>
            <charset val="238"/>
          </rPr>
          <t>Mařík Miloš:</t>
        </r>
        <r>
          <rPr>
            <sz val="8"/>
            <color indexed="81"/>
            <rFont val="Tahoma"/>
            <family val="2"/>
            <charset val="238"/>
          </rPr>
          <t xml:space="preserve">
Převzato z prognózy generátorů hodnoty
(část "Prognóza ziskové marže zdola)</t>
        </r>
      </text>
    </comment>
    <comment ref="A16" authorId="0" shapeId="0" xr:uid="{00000000-0006-0000-1200-000006000000}">
      <text>
        <r>
          <rPr>
            <b/>
            <sz val="8"/>
            <color indexed="81"/>
            <rFont val="Tahoma"/>
            <family val="2"/>
            <charset val="238"/>
          </rPr>
          <t>Mařík Miloš:</t>
        </r>
        <r>
          <rPr>
            <sz val="8"/>
            <color indexed="81"/>
            <rFont val="Tahoma"/>
            <family val="2"/>
            <charset val="238"/>
          </rPr>
          <t xml:space="preserve">
Převzato z prognózy generátorů hodnoty
(část "Prognóza ziskové marže zdola)</t>
        </r>
      </text>
    </comment>
    <comment ref="A17" authorId="0" shapeId="0" xr:uid="{00000000-0006-0000-1200-000007000000}">
      <text>
        <r>
          <rPr>
            <b/>
            <sz val="8"/>
            <color indexed="81"/>
            <rFont val="Tahoma"/>
            <family val="2"/>
            <charset val="238"/>
          </rPr>
          <t>Mařík Miloš:</t>
        </r>
        <r>
          <rPr>
            <sz val="8"/>
            <color indexed="81"/>
            <rFont val="Tahoma"/>
            <family val="2"/>
            <charset val="238"/>
          </rPr>
          <t xml:space="preserve">
Žádné změny nákladových rezerv pro budoucí roky neplánujeme.</t>
        </r>
      </text>
    </comment>
    <comment ref="A18" authorId="0" shapeId="0" xr:uid="{00000000-0006-0000-1200-000008000000}">
      <text>
        <r>
          <rPr>
            <b/>
            <sz val="8"/>
            <color indexed="81"/>
            <rFont val="Tahoma"/>
            <family val="2"/>
            <charset val="238"/>
          </rPr>
          <t>Mařík Miloš:</t>
        </r>
        <r>
          <rPr>
            <sz val="8"/>
            <color indexed="81"/>
            <rFont val="Tahoma"/>
            <family val="2"/>
            <charset val="238"/>
          </rPr>
          <t xml:space="preserve">
Výnosy - náklady z hlavního provozu, musí odpovídat KPVH z prognózy generátorů hodnoty (část Prognóza ziskové marže)</t>
        </r>
      </text>
    </comment>
    <comment ref="A22" authorId="0" shapeId="0" xr:uid="{00000000-0006-0000-1200-000009000000}">
      <text>
        <r>
          <rPr>
            <b/>
            <sz val="8"/>
            <color indexed="81"/>
            <rFont val="Tahoma"/>
            <family val="2"/>
            <charset val="238"/>
          </rPr>
          <t>Mařík Miloš:</t>
        </r>
        <r>
          <rPr>
            <sz val="8"/>
            <color indexed="81"/>
            <rFont val="Tahoma"/>
            <family val="2"/>
            <charset val="238"/>
          </rPr>
          <t xml:space="preserve">
Úroková míra x Cizí úročený kapitál k počátku roku</t>
        </r>
      </text>
    </comment>
    <comment ref="A26" authorId="0" shapeId="0" xr:uid="{00000000-0006-0000-1200-00000A000000}">
      <text>
        <r>
          <rPr>
            <b/>
            <sz val="8"/>
            <color indexed="81"/>
            <rFont val="Tahoma"/>
            <family val="2"/>
            <charset val="238"/>
          </rPr>
          <t>Mařík Miloš:</t>
        </r>
        <r>
          <rPr>
            <sz val="8"/>
            <color indexed="81"/>
            <rFont val="Tahoma"/>
            <family val="2"/>
            <charset val="238"/>
          </rPr>
          <t xml:space="preserve">
Ponecháno na úrovni posledního roku. Jde o úrokový výnos z dluhopisu</t>
        </r>
      </text>
    </comment>
    <comment ref="A27" authorId="0" shapeId="0" xr:uid="{00000000-0006-0000-1200-00000B000000}">
      <text>
        <r>
          <rPr>
            <b/>
            <sz val="8"/>
            <color indexed="81"/>
            <rFont val="Tahoma"/>
            <family val="2"/>
            <charset val="238"/>
          </rPr>
          <t>Mařík Miloš:</t>
        </r>
        <r>
          <rPr>
            <sz val="8"/>
            <color indexed="81"/>
            <rFont val="Tahoma"/>
            <family val="2"/>
            <charset val="238"/>
          </rPr>
          <t xml:space="preserve">
Odhadovaná úroková míra x Peněžní prostředky k počátku roku</t>
        </r>
      </text>
    </comment>
    <comment ref="A28" authorId="1" shapeId="0" xr:uid="{00000000-0006-0000-1200-00000C000000}">
      <text>
        <r>
          <rPr>
            <b/>
            <sz val="9"/>
            <color indexed="81"/>
            <rFont val="Tahoma"/>
            <family val="2"/>
            <charset val="238"/>
          </rPr>
          <t>Miloš Mařík:</t>
        </r>
        <r>
          <rPr>
            <sz val="9"/>
            <color indexed="81"/>
            <rFont val="Tahoma"/>
            <family val="2"/>
            <charset val="238"/>
          </rPr>
          <t xml:space="preserve">
Mimořádné výnosy - Mimořádné náklady
Pro budoucí roky se neplánuje</t>
        </r>
      </text>
    </comment>
    <comment ref="A39" authorId="0" shapeId="0" xr:uid="{00000000-0006-0000-1200-00000D000000}">
      <text>
        <r>
          <rPr>
            <b/>
            <sz val="8"/>
            <color indexed="81"/>
            <rFont val="Tahoma"/>
            <family val="2"/>
            <charset val="238"/>
          </rPr>
          <t>Mařík Miloš:</t>
        </r>
        <r>
          <rPr>
            <sz val="8"/>
            <color indexed="81"/>
            <rFont val="Tahoma"/>
            <family val="2"/>
            <charset val="238"/>
          </rPr>
          <t xml:space="preserve">
Stav peněz na začátku roku = stav peněz na konci předchozího roku</t>
        </r>
      </text>
    </comment>
    <comment ref="A44" authorId="0" shapeId="0" xr:uid="{00000000-0006-0000-1200-00000E000000}">
      <text>
        <r>
          <rPr>
            <b/>
            <sz val="8"/>
            <color indexed="81"/>
            <rFont val="Tahoma"/>
            <family val="2"/>
            <charset val="238"/>
          </rPr>
          <t>Mařík Miloš:</t>
        </r>
        <r>
          <rPr>
            <sz val="8"/>
            <color indexed="81"/>
            <rFont val="Tahoma"/>
            <family val="2"/>
            <charset val="238"/>
          </rPr>
          <t xml:space="preserve">
Převzato z výsledovky</t>
        </r>
      </text>
    </comment>
    <comment ref="A45" authorId="0" shapeId="0" xr:uid="{00000000-0006-0000-1200-00000F000000}">
      <text>
        <r>
          <rPr>
            <b/>
            <sz val="8"/>
            <color indexed="81"/>
            <rFont val="Tahoma"/>
            <family val="2"/>
            <charset val="238"/>
          </rPr>
          <t>Mařík Miloš:</t>
        </r>
        <r>
          <rPr>
            <sz val="8"/>
            <color indexed="81"/>
            <rFont val="Tahoma"/>
            <family val="2"/>
            <charset val="238"/>
          </rPr>
          <t xml:space="preserve">
Pokud by se v rámci KPVH vyskytovaly výraznější rozdíly mezi účetními a daňově uznatelnými výnosy a náklady, bylo by třeba daň počítat z "daňového" KPVH, který by byl rozdílem mezi daňovými výnosy a náklady z hlavního provozu podniku.</t>
        </r>
      </text>
    </comment>
    <comment ref="A48" authorId="0" shapeId="0" xr:uid="{00000000-0006-0000-1200-000010000000}">
      <text>
        <r>
          <rPr>
            <b/>
            <sz val="8"/>
            <color indexed="81"/>
            <rFont val="Tahoma"/>
            <family val="2"/>
            <charset val="238"/>
          </rPr>
          <t>Mařík Miloš:</t>
        </r>
        <r>
          <rPr>
            <sz val="8"/>
            <color indexed="81"/>
            <rFont val="Tahoma"/>
            <family val="2"/>
            <charset val="238"/>
          </rPr>
          <t xml:space="preserve">
Převzato z výsledovky</t>
        </r>
      </text>
    </comment>
    <comment ref="A49" authorId="0" shapeId="0" xr:uid="{00000000-0006-0000-1200-000011000000}">
      <text>
        <r>
          <rPr>
            <b/>
            <sz val="8"/>
            <color indexed="81"/>
            <rFont val="Tahoma"/>
            <family val="2"/>
            <charset val="238"/>
          </rPr>
          <t>Mařík Miloš:</t>
        </r>
        <r>
          <rPr>
            <sz val="8"/>
            <color indexed="81"/>
            <rFont val="Tahoma"/>
            <family val="2"/>
            <charset val="238"/>
          </rPr>
          <t xml:space="preserve">
Převzato z výsledovky</t>
        </r>
      </text>
    </comment>
    <comment ref="A51" authorId="0" shapeId="0" xr:uid="{00000000-0006-0000-1200-000012000000}">
      <text>
        <r>
          <rPr>
            <b/>
            <sz val="8"/>
            <color indexed="81"/>
            <rFont val="Tahoma"/>
            <family val="2"/>
            <charset val="238"/>
          </rPr>
          <t>Mařík Miloš:</t>
        </r>
        <r>
          <rPr>
            <sz val="8"/>
            <color indexed="81"/>
            <rFont val="Tahoma"/>
            <family val="2"/>
            <charset val="238"/>
          </rPr>
          <t xml:space="preserve">
Převzato z prognózy generátorů hodnoty
(část Provozně nutný pracovní kapitál)</t>
        </r>
      </text>
    </comment>
    <comment ref="A52" authorId="0" shapeId="0" xr:uid="{00000000-0006-0000-1200-000013000000}">
      <text>
        <r>
          <rPr>
            <b/>
            <sz val="8"/>
            <color indexed="81"/>
            <rFont val="Tahoma"/>
            <family val="2"/>
            <charset val="238"/>
          </rPr>
          <t>Mařík Miloš:</t>
        </r>
        <r>
          <rPr>
            <sz val="8"/>
            <color indexed="81"/>
            <rFont val="Tahoma"/>
            <family val="2"/>
            <charset val="238"/>
          </rPr>
          <t xml:space="preserve">
Převzato z prognózy generátorů hodnoty
(část Provozně nutný pracovní kapitál)</t>
        </r>
      </text>
    </comment>
    <comment ref="A53" authorId="0" shapeId="0" xr:uid="{00000000-0006-0000-1200-000014000000}">
      <text>
        <r>
          <rPr>
            <b/>
            <sz val="8"/>
            <color indexed="81"/>
            <rFont val="Tahoma"/>
            <family val="2"/>
            <charset val="238"/>
          </rPr>
          <t>Mařík Miloš:</t>
        </r>
        <r>
          <rPr>
            <sz val="8"/>
            <color indexed="81"/>
            <rFont val="Tahoma"/>
            <family val="2"/>
            <charset val="238"/>
          </rPr>
          <t xml:space="preserve">
Převzato z prognózy generátorů hodnoty
(část Provozně nutný pracovní kapitál)</t>
        </r>
      </text>
    </comment>
    <comment ref="A56" authorId="0" shapeId="0" xr:uid="{00000000-0006-0000-1200-000015000000}">
      <text>
        <r>
          <rPr>
            <b/>
            <sz val="8"/>
            <color indexed="81"/>
            <rFont val="Tahoma"/>
            <family val="2"/>
            <charset val="238"/>
          </rPr>
          <t>Mařík Miloš:</t>
        </r>
        <r>
          <rPr>
            <sz val="8"/>
            <color indexed="81"/>
            <rFont val="Tahoma"/>
            <family val="2"/>
            <charset val="238"/>
          </rPr>
          <t xml:space="preserve">
Převzato z prognózy generátorů hodnoty
(část Provozně nutný dlouhodobý majetekl)</t>
        </r>
      </text>
    </comment>
    <comment ref="A62" authorId="0" shapeId="0" xr:uid="{00000000-0006-0000-1200-000016000000}">
      <text>
        <r>
          <rPr>
            <b/>
            <sz val="8"/>
            <color indexed="81"/>
            <rFont val="Tahoma"/>
            <family val="2"/>
            <charset val="238"/>
          </rPr>
          <t>Mařík Miloš:</t>
        </r>
        <r>
          <rPr>
            <sz val="8"/>
            <color indexed="81"/>
            <rFont val="Tahoma"/>
            <family val="2"/>
            <charset val="238"/>
          </rPr>
          <t xml:space="preserve">
Převzato z výsledovky</t>
        </r>
      </text>
    </comment>
    <comment ref="A67" authorId="0" shapeId="0" xr:uid="{00000000-0006-0000-1200-000017000000}">
      <text>
        <r>
          <rPr>
            <b/>
            <sz val="8"/>
            <color indexed="81"/>
            <rFont val="Tahoma"/>
            <family val="2"/>
            <charset val="238"/>
          </rPr>
          <t>Mařík Miloš:</t>
        </r>
        <r>
          <rPr>
            <sz val="8"/>
            <color indexed="81"/>
            <rFont val="Tahoma"/>
            <family val="2"/>
            <charset val="238"/>
          </rPr>
          <t xml:space="preserve">
Převzato z výsledovky</t>
        </r>
      </text>
    </comment>
    <comment ref="A68" authorId="0" shapeId="0" xr:uid="{00000000-0006-0000-1200-000018000000}">
      <text>
        <r>
          <rPr>
            <b/>
            <sz val="8"/>
            <color indexed="81"/>
            <rFont val="Tahoma"/>
            <family val="2"/>
            <charset val="238"/>
          </rPr>
          <t>Mařík Miloš:</t>
        </r>
        <r>
          <rPr>
            <sz val="8"/>
            <color indexed="81"/>
            <rFont val="Tahoma"/>
            <family val="2"/>
            <charset val="238"/>
          </rPr>
          <t xml:space="preserve">
Převzato z výsledovky</t>
        </r>
      </text>
    </comment>
    <comment ref="A69" authorId="0" shapeId="0" xr:uid="{00000000-0006-0000-1200-000019000000}">
      <text>
        <r>
          <rPr>
            <b/>
            <sz val="8"/>
            <color indexed="81"/>
            <rFont val="Tahoma"/>
            <family val="2"/>
            <charset val="238"/>
          </rPr>
          <t>Mařík Miloš:</t>
        </r>
        <r>
          <rPr>
            <sz val="8"/>
            <color indexed="81"/>
            <rFont val="Tahoma"/>
            <family val="2"/>
            <charset val="238"/>
          </rPr>
          <t xml:space="preserve">
Rozdíl mezi celkovou daní vypočítanou ve výsledovce a daní připradající na KPVH vypočítanou v peněžním toku z provozního majetku</t>
        </r>
      </text>
    </comment>
    <comment ref="A70" authorId="0" shapeId="0" xr:uid="{00000000-0006-0000-1200-00001A000000}">
      <text>
        <r>
          <rPr>
            <b/>
            <sz val="8"/>
            <color indexed="81"/>
            <rFont val="Tahoma"/>
            <family val="2"/>
            <charset val="238"/>
          </rPr>
          <t>Mařík Miloš:</t>
        </r>
        <r>
          <rPr>
            <sz val="8"/>
            <color indexed="81"/>
            <rFont val="Tahoma"/>
            <family val="2"/>
            <charset val="238"/>
          </rPr>
          <t xml:space="preserve">
Převzato z výsledovky (pro buducí roky mimořádný VH neplánujeme)</t>
        </r>
      </text>
    </comment>
    <comment ref="A72" authorId="0" shapeId="0" xr:uid="{00000000-0006-0000-1200-00001B000000}">
      <text>
        <r>
          <rPr>
            <b/>
            <sz val="8"/>
            <color indexed="81"/>
            <rFont val="Tahoma"/>
            <family val="2"/>
            <charset val="238"/>
          </rPr>
          <t>Mařík Miloš:</t>
        </r>
        <r>
          <rPr>
            <sz val="8"/>
            <color indexed="81"/>
            <rFont val="Tahoma"/>
            <family val="2"/>
            <charset val="238"/>
          </rPr>
          <t xml:space="preserve">
Dlouhodobý finanční majetek je v případě podniku UNIPO provozně nepotřebný. Jeho další nákupy plánovat nebudeme.</t>
        </r>
      </text>
    </comment>
    <comment ref="A74" authorId="0" shapeId="0" xr:uid="{00000000-0006-0000-1200-00001C000000}">
      <text>
        <r>
          <rPr>
            <b/>
            <sz val="8"/>
            <color indexed="81"/>
            <rFont val="Tahoma"/>
            <family val="2"/>
            <charset val="238"/>
          </rPr>
          <t>Mařík Miloš:</t>
        </r>
        <r>
          <rPr>
            <sz val="8"/>
            <color indexed="81"/>
            <rFont val="Tahoma"/>
            <family val="2"/>
            <charset val="238"/>
          </rPr>
          <t xml:space="preserve">
Ve finančním majetku jsou ještě dluhopisy. Jejich odprodej před splatností nepředpokládáme.</t>
        </r>
      </text>
    </comment>
    <comment ref="A81" authorId="0" shapeId="0" xr:uid="{00000000-0006-0000-1200-00001D000000}">
      <text>
        <r>
          <rPr>
            <b/>
            <sz val="8"/>
            <color indexed="81"/>
            <rFont val="Tahoma"/>
            <family val="2"/>
            <charset val="238"/>
          </rPr>
          <t>Mařík Miloš:</t>
        </r>
        <r>
          <rPr>
            <sz val="8"/>
            <color indexed="81"/>
            <rFont val="Tahoma"/>
            <family val="2"/>
            <charset val="238"/>
          </rPr>
          <t xml:space="preserve">
V případě podniku UNIPO nepředpokládáme změny dlouhodobého cizího kapitálu. Jinak by bylo vhodné pracovat samostatný dílčí plán dlouhodobého financování a z něho převzít změny do plánu peněžních toků. </t>
        </r>
      </text>
    </comment>
    <comment ref="A93" authorId="0" shapeId="0" xr:uid="{00000000-0006-0000-1200-00001E000000}">
      <text>
        <r>
          <rPr>
            <b/>
            <sz val="8"/>
            <color indexed="81"/>
            <rFont val="Tahoma"/>
            <family val="2"/>
            <charset val="238"/>
          </rPr>
          <t>Mařík Miloš:</t>
        </r>
        <r>
          <rPr>
            <sz val="8"/>
            <color indexed="81"/>
            <rFont val="Tahoma"/>
            <family val="2"/>
            <charset val="238"/>
          </rPr>
          <t xml:space="preserve">
Stav peněz na začátku roku + Peněžní tok celkem</t>
        </r>
      </text>
    </comment>
    <comment ref="A98" authorId="0" shapeId="0" xr:uid="{00000000-0006-0000-1200-00001F000000}">
      <text>
        <r>
          <rPr>
            <b/>
            <sz val="8"/>
            <color indexed="81"/>
            <rFont val="Tahoma"/>
            <family val="2"/>
            <charset val="238"/>
          </rPr>
          <t>Mařík Miloš:</t>
        </r>
        <r>
          <rPr>
            <sz val="8"/>
            <color indexed="81"/>
            <rFont val="Tahoma"/>
            <family val="2"/>
            <charset val="238"/>
          </rPr>
          <t xml:space="preserve">
Kontrola - musí platit vztah:
DM ke konci roku = DM k začátku roku - Odpisy + Investice do nutného i nenutného majetku - Zůstatková cena prodaného DM.</t>
        </r>
      </text>
    </comment>
    <comment ref="A99" authorId="0" shapeId="0" xr:uid="{00000000-0006-0000-1200-000020000000}">
      <text>
        <r>
          <rPr>
            <b/>
            <sz val="8"/>
            <color indexed="81"/>
            <rFont val="Tahoma"/>
            <family val="2"/>
            <charset val="238"/>
          </rPr>
          <t>Mařík Miloš:</t>
        </r>
        <r>
          <rPr>
            <sz val="8"/>
            <color indexed="81"/>
            <rFont val="Tahoma"/>
            <family val="2"/>
            <charset val="238"/>
          </rPr>
          <t xml:space="preserve">
Převzato z prognózy generátorů hodnoty (část Provozně potřebný dlouhodobý majetek)</t>
        </r>
      </text>
    </comment>
    <comment ref="A100" authorId="0" shapeId="0" xr:uid="{00000000-0006-0000-1200-000021000000}">
      <text>
        <r>
          <rPr>
            <b/>
            <sz val="8"/>
            <color indexed="81"/>
            <rFont val="Tahoma"/>
            <family val="2"/>
            <charset val="238"/>
          </rPr>
          <t>Mařík Miloš:</t>
        </r>
        <r>
          <rPr>
            <sz val="8"/>
            <color indexed="81"/>
            <rFont val="Tahoma"/>
            <family val="2"/>
            <charset val="238"/>
          </rPr>
          <t xml:space="preserve">
Jednotlivé položky převzaty z prognózy generátorů hodnoty (část Provozně potřebný dlouhodobý majetek)</t>
        </r>
      </text>
    </comment>
    <comment ref="A107" authorId="0" shapeId="0" xr:uid="{00000000-0006-0000-1200-000022000000}">
      <text>
        <r>
          <rPr>
            <b/>
            <sz val="8"/>
            <color indexed="81"/>
            <rFont val="Tahoma"/>
            <family val="2"/>
            <charset val="238"/>
          </rPr>
          <t>Mařík Miloš:</t>
        </r>
        <r>
          <rPr>
            <sz val="8"/>
            <color indexed="81"/>
            <rFont val="Tahoma"/>
            <family val="2"/>
            <charset val="238"/>
          </rPr>
          <t xml:space="preserve">
Nakoupené dluhopisy bude podnik držet až do splanosti.</t>
        </r>
      </text>
    </comment>
    <comment ref="A108" authorId="0" shapeId="0" xr:uid="{00000000-0006-0000-1200-000023000000}">
      <text>
        <r>
          <rPr>
            <b/>
            <sz val="8"/>
            <color indexed="81"/>
            <rFont val="Tahoma"/>
            <family val="2"/>
            <charset val="238"/>
          </rPr>
          <t>Mařík Miloš:</t>
        </r>
        <r>
          <rPr>
            <sz val="8"/>
            <color indexed="81"/>
            <rFont val="Tahoma"/>
            <family val="2"/>
            <charset val="238"/>
          </rPr>
          <t xml:space="preserve">
Plůjčka jinému podniku bude postupně splácena</t>
        </r>
      </text>
    </comment>
    <comment ref="A110" authorId="0" shapeId="0" xr:uid="{00000000-0006-0000-1200-000024000000}">
      <text>
        <r>
          <rPr>
            <b/>
            <sz val="8"/>
            <color indexed="81"/>
            <rFont val="Tahoma"/>
            <family val="2"/>
            <charset val="238"/>
          </rPr>
          <t>Mařík Miloš:</t>
        </r>
        <r>
          <rPr>
            <sz val="8"/>
            <color indexed="81"/>
            <rFont val="Tahoma"/>
            <family val="2"/>
            <charset val="238"/>
          </rPr>
          <t xml:space="preserve">
Jednotlivé položky převzaty z prognózy generátorů hodnoty (část Provozně nutný pracovní kapitál)</t>
        </r>
      </text>
    </comment>
    <comment ref="A113" authorId="0" shapeId="0" xr:uid="{00000000-0006-0000-1200-000025000000}">
      <text>
        <r>
          <rPr>
            <b/>
            <sz val="8"/>
            <color indexed="81"/>
            <rFont val="Tahoma"/>
            <family val="2"/>
            <charset val="238"/>
          </rPr>
          <t>Mařík Miloš:</t>
        </r>
        <r>
          <rPr>
            <sz val="8"/>
            <color indexed="81"/>
            <rFont val="Tahoma"/>
            <family val="2"/>
            <charset val="238"/>
          </rPr>
          <t xml:space="preserve">
Jednotlivé položky převzaty z prognózy generátorů hodnoty (část Provozně nutný pracovní kapitál)</t>
        </r>
      </text>
    </comment>
    <comment ref="A115" authorId="0" shapeId="0" xr:uid="{00000000-0006-0000-1200-000026000000}">
      <text>
        <r>
          <rPr>
            <b/>
            <sz val="8"/>
            <color indexed="81"/>
            <rFont val="Tahoma"/>
            <family val="2"/>
            <charset val="238"/>
          </rPr>
          <t>Mařík Miloš:</t>
        </r>
        <r>
          <rPr>
            <sz val="8"/>
            <color indexed="81"/>
            <rFont val="Tahoma"/>
            <family val="2"/>
            <charset val="238"/>
          </rPr>
          <t xml:space="preserve">
Převzato z výkazu peněžních toků</t>
        </r>
      </text>
    </comment>
    <comment ref="A116" authorId="0" shapeId="0" xr:uid="{00000000-0006-0000-1200-000027000000}">
      <text>
        <r>
          <rPr>
            <b/>
            <sz val="8"/>
            <color indexed="81"/>
            <rFont val="Tahoma"/>
            <family val="2"/>
            <charset val="238"/>
          </rPr>
          <t>Mařík Miloš:</t>
        </r>
        <r>
          <rPr>
            <sz val="8"/>
            <color indexed="81"/>
            <rFont val="Tahoma"/>
            <family val="2"/>
            <charset val="238"/>
          </rPr>
          <t xml:space="preserve">
Převzato z prognózy generátorů hodnoty (potřebné peníze byly dopočtené pomocí stanoveného limitu ukazatele likvidity)</t>
        </r>
      </text>
    </comment>
    <comment ref="A117" authorId="0" shapeId="0" xr:uid="{00000000-0006-0000-1200-000028000000}">
      <text>
        <r>
          <rPr>
            <b/>
            <sz val="8"/>
            <color indexed="81"/>
            <rFont val="Tahoma"/>
            <family val="2"/>
            <charset val="238"/>
          </rPr>
          <t>Mařík Miloš:</t>
        </r>
        <r>
          <rPr>
            <sz val="8"/>
            <color indexed="81"/>
            <rFont val="Tahoma"/>
            <family val="2"/>
            <charset val="238"/>
          </rPr>
          <t xml:space="preserve">
Peníze celkem - provozně potřebné peníze</t>
        </r>
      </text>
    </comment>
    <comment ref="A118" authorId="0" shapeId="0" xr:uid="{00000000-0006-0000-1200-000029000000}">
      <text>
        <r>
          <rPr>
            <b/>
            <sz val="8"/>
            <color indexed="81"/>
            <rFont val="Tahoma"/>
            <family val="2"/>
            <charset val="238"/>
          </rPr>
          <t>Mařík Miloš:</t>
        </r>
        <r>
          <rPr>
            <sz val="8"/>
            <color indexed="81"/>
            <rFont val="Tahoma"/>
            <family val="2"/>
            <charset val="238"/>
          </rPr>
          <t xml:space="preserve">
Ponecháno na úrovni posledního roku. Zároveň musí odpovídat prognóza pracovního kapitálu v rámci generátorů hodnoty.</t>
        </r>
      </text>
    </comment>
    <comment ref="A123" authorId="0" shapeId="0" xr:uid="{00000000-0006-0000-1200-00002A000000}">
      <text>
        <r>
          <rPr>
            <b/>
            <sz val="8"/>
            <color indexed="81"/>
            <rFont val="Tahoma"/>
            <family val="2"/>
            <charset val="238"/>
          </rPr>
          <t>Mařík Miloš:</t>
        </r>
        <r>
          <rPr>
            <sz val="8"/>
            <color indexed="81"/>
            <rFont val="Tahoma"/>
            <family val="2"/>
            <charset val="238"/>
          </rPr>
          <t xml:space="preserve">
Ponecháno na úrovni posledního roku. Změna základního kapitálu musí odpovídat tomu, co bylo plánováno v rámci finančního cash flow.</t>
        </r>
      </text>
    </comment>
    <comment ref="A124" authorId="0" shapeId="0" xr:uid="{00000000-0006-0000-1200-00002B000000}">
      <text>
        <r>
          <rPr>
            <b/>
            <sz val="8"/>
            <color indexed="81"/>
            <rFont val="Tahoma"/>
            <family val="2"/>
            <charset val="238"/>
          </rPr>
          <t>Mařík Miloš:</t>
        </r>
        <r>
          <rPr>
            <sz val="8"/>
            <color indexed="81"/>
            <rFont val="Tahoma"/>
            <family val="2"/>
            <charset val="238"/>
          </rPr>
          <t xml:space="preserve">
Ponecháno na úrovni posledního roku. Změna kapitálových fondů musí odpovídat tomu, co bylo plánováno v rámci finančního cash flow.</t>
        </r>
      </text>
    </comment>
    <comment ref="A126" authorId="0" shapeId="0" xr:uid="{00000000-0006-0000-1200-00002C000000}">
      <text>
        <r>
          <rPr>
            <b/>
            <sz val="8"/>
            <color indexed="81"/>
            <rFont val="Tahoma"/>
            <family val="2"/>
            <charset val="238"/>
          </rPr>
          <t>Mařík Miloš:</t>
        </r>
        <r>
          <rPr>
            <sz val="8"/>
            <color indexed="81"/>
            <rFont val="Tahoma"/>
            <family val="2"/>
            <charset val="238"/>
          </rPr>
          <t xml:space="preserve">
VH minulých let v předchozím roce + VH běžného úč. období v minulém roce - Příděly do fondů ze zisku v aktuálním roce - Podíly na zisku (dividendy) vyplacené v aktuálním roce</t>
        </r>
      </text>
    </comment>
    <comment ref="A127" authorId="0" shapeId="0" xr:uid="{00000000-0006-0000-1200-00002D000000}">
      <text>
        <r>
          <rPr>
            <b/>
            <sz val="8"/>
            <color indexed="81"/>
            <rFont val="Tahoma"/>
            <family val="2"/>
            <charset val="238"/>
          </rPr>
          <t>Mařík Miloš:</t>
        </r>
        <r>
          <rPr>
            <sz val="8"/>
            <color indexed="81"/>
            <rFont val="Tahoma"/>
            <family val="2"/>
            <charset val="238"/>
          </rPr>
          <t xml:space="preserve">
Převzat VH po dani z výsledovky</t>
        </r>
      </text>
    </comment>
    <comment ref="A129" authorId="0" shapeId="0" xr:uid="{00000000-0006-0000-1200-00002E000000}">
      <text>
        <r>
          <rPr>
            <b/>
            <sz val="8"/>
            <color indexed="81"/>
            <rFont val="Tahoma"/>
            <family val="2"/>
            <charset val="238"/>
          </rPr>
          <t>Mařík Miloš:</t>
        </r>
        <r>
          <rPr>
            <sz val="8"/>
            <color indexed="81"/>
            <rFont val="Tahoma"/>
            <family val="2"/>
            <charset val="238"/>
          </rPr>
          <t xml:space="preserve">
Musí odpovídat  změně rezerv plánované ve výsledovce a výkazu peněžních toků
Poznámka: Nákladové rezervy u podniku UNIPO nebudeme pro účely ocenění považovat za reálný závazek vůči třetí osobě</t>
        </r>
      </text>
    </comment>
    <comment ref="A130" authorId="1" shapeId="0" xr:uid="{00000000-0006-0000-1200-00002F000000}">
      <text>
        <r>
          <rPr>
            <b/>
            <sz val="9"/>
            <color indexed="81"/>
            <rFont val="Tahoma"/>
            <family val="2"/>
            <charset val="238"/>
          </rPr>
          <t>Miloš Mařík:</t>
        </r>
        <r>
          <rPr>
            <sz val="9"/>
            <color indexed="81"/>
            <rFont val="Tahoma"/>
            <family val="2"/>
            <charset val="238"/>
          </rPr>
          <t xml:space="preserve">
</t>
        </r>
        <r>
          <rPr>
            <sz val="8"/>
            <color indexed="81"/>
            <rFont val="Tahoma"/>
            <family val="2"/>
            <charset val="238"/>
          </rPr>
          <t>Musí odpovídat změně plánované ve výkazu peněžních toků v rámci finančního cash flow</t>
        </r>
      </text>
    </comment>
    <comment ref="A133" authorId="0" shapeId="0" xr:uid="{00000000-0006-0000-1200-000030000000}">
      <text>
        <r>
          <rPr>
            <b/>
            <sz val="8"/>
            <color indexed="81"/>
            <rFont val="Tahoma"/>
            <family val="2"/>
            <charset val="238"/>
          </rPr>
          <t>Mařík Miloš:</t>
        </r>
        <r>
          <rPr>
            <sz val="8"/>
            <color indexed="81"/>
            <rFont val="Tahoma"/>
            <family val="2"/>
            <charset val="238"/>
          </rPr>
          <t xml:space="preserve">
Jednotlivé položky kromě úvěrů převzaty z prognózy generátorů hodnoty (část Provozně nutný pracovní kapitál)</t>
        </r>
      </text>
    </comment>
    <comment ref="A134" authorId="1" shapeId="0" xr:uid="{00000000-0006-0000-1200-000031000000}">
      <text>
        <r>
          <rPr>
            <b/>
            <sz val="9"/>
            <color indexed="81"/>
            <rFont val="Tahoma"/>
            <family val="2"/>
            <charset val="238"/>
          </rPr>
          <t>Miloš Mařík:</t>
        </r>
        <r>
          <rPr>
            <sz val="9"/>
            <color indexed="81"/>
            <rFont val="Tahoma"/>
            <family val="2"/>
            <charset val="238"/>
          </rPr>
          <t xml:space="preserve">
</t>
        </r>
        <r>
          <rPr>
            <sz val="8"/>
            <color indexed="81"/>
            <rFont val="Tahoma"/>
            <family val="2"/>
            <charset val="238"/>
          </rPr>
          <t>Musí odpovídat změně plánované ve výkazu peněžních toků v rámci finančního cash flow</t>
        </r>
      </text>
    </comment>
    <comment ref="A139" authorId="0" shapeId="0" xr:uid="{00000000-0006-0000-1200-000032000000}">
      <text>
        <r>
          <rPr>
            <b/>
            <sz val="8"/>
            <color indexed="81"/>
            <rFont val="Tahoma"/>
            <family val="2"/>
            <charset val="238"/>
          </rPr>
          <t>Mařík Miloš:</t>
        </r>
        <r>
          <rPr>
            <sz val="8"/>
            <color indexed="81"/>
            <rFont val="Tahoma"/>
            <family val="2"/>
            <charset val="238"/>
          </rPr>
          <t xml:space="preserve">
Ponecháno na úrovni posledního roku. Zároveň musí odpovídat prognóza pracovního kapitálu v rámci generátorů hodnoty.</t>
        </r>
      </text>
    </comment>
    <comment ref="A147" authorId="0" shapeId="0" xr:uid="{00000000-0006-0000-1200-000033000000}">
      <text>
        <r>
          <rPr>
            <b/>
            <sz val="8"/>
            <color indexed="81"/>
            <rFont val="Tahoma"/>
            <family val="2"/>
            <charset val="238"/>
          </rPr>
          <t>Mařík Miloš:</t>
        </r>
        <r>
          <rPr>
            <sz val="8"/>
            <color indexed="81"/>
            <rFont val="Tahoma"/>
            <family val="2"/>
            <charset val="238"/>
          </rPr>
          <t xml:space="preserve">
Peněžní prostředky / (Krátkodobé závazky vč. krátkodobých bank. úvěrů)</t>
        </r>
      </text>
    </comment>
    <comment ref="A148" authorId="0" shapeId="0" xr:uid="{00000000-0006-0000-1200-000034000000}">
      <text>
        <r>
          <rPr>
            <b/>
            <sz val="8"/>
            <color indexed="81"/>
            <rFont val="Tahoma"/>
            <family val="2"/>
            <charset val="238"/>
          </rPr>
          <t>Mařík Miloš:</t>
        </r>
        <r>
          <rPr>
            <sz val="8"/>
            <color indexed="81"/>
            <rFont val="Tahoma"/>
            <family val="2"/>
            <charset val="238"/>
          </rPr>
          <t xml:space="preserve">
(Peněžní prostředky + Krátkodobé pohledávky) / (Krátkodobé závazky vč. krátkodobých bank. úvěrů)</t>
        </r>
      </text>
    </comment>
    <comment ref="A149" authorId="0" shapeId="0" xr:uid="{00000000-0006-0000-1200-000035000000}">
      <text>
        <r>
          <rPr>
            <b/>
            <sz val="8"/>
            <color indexed="81"/>
            <rFont val="Tahoma"/>
            <family val="2"/>
            <charset val="238"/>
          </rPr>
          <t>Mařík Miloš:</t>
        </r>
        <r>
          <rPr>
            <sz val="8"/>
            <color indexed="81"/>
            <rFont val="Tahoma"/>
            <family val="2"/>
            <charset val="238"/>
          </rPr>
          <t xml:space="preserve">
Oběžná aktiva / (Krátkodobé závazky vč. krátkodobých bank. úvěrů)</t>
        </r>
      </text>
    </comment>
    <comment ref="A152" authorId="0" shapeId="0" xr:uid="{00000000-0006-0000-1200-000036000000}">
      <text>
        <r>
          <rPr>
            <b/>
            <sz val="8"/>
            <color indexed="81"/>
            <rFont val="Tahoma"/>
            <family val="2"/>
            <charset val="238"/>
          </rPr>
          <t>Mařík Miloš:</t>
        </r>
        <r>
          <rPr>
            <sz val="8"/>
            <color indexed="81"/>
            <rFont val="Tahoma"/>
            <family val="2"/>
            <charset val="238"/>
          </rPr>
          <t xml:space="preserve">
Vlastní kapitál / Pasiva celkem</t>
        </r>
      </text>
    </comment>
    <comment ref="A153" authorId="0" shapeId="0" xr:uid="{00000000-0006-0000-1200-000037000000}">
      <text>
        <r>
          <rPr>
            <b/>
            <sz val="8"/>
            <color indexed="81"/>
            <rFont val="Tahoma"/>
            <family val="2"/>
            <charset val="238"/>
          </rPr>
          <t>Mařík Miloš:</t>
        </r>
        <r>
          <rPr>
            <sz val="8"/>
            <color indexed="81"/>
            <rFont val="Tahoma"/>
            <family val="2"/>
            <charset val="238"/>
          </rPr>
          <t xml:space="preserve">
(Výsledek hospodaření před zdaněním + Nákladové úroky) / Nákladové úrokoy</t>
        </r>
      </text>
    </comment>
    <comment ref="A154" authorId="0" shapeId="0" xr:uid="{00000000-0006-0000-1200-000038000000}">
      <text>
        <r>
          <rPr>
            <b/>
            <sz val="8"/>
            <color indexed="81"/>
            <rFont val="Tahoma"/>
            <family val="2"/>
            <charset val="238"/>
          </rPr>
          <t>Mařík Miloš:</t>
        </r>
        <r>
          <rPr>
            <sz val="8"/>
            <color indexed="81"/>
            <rFont val="Tahoma"/>
            <family val="2"/>
            <charset val="238"/>
          </rPr>
          <t xml:space="preserve">
(Cizí zdroje - Nákladové rezervy) / Peněžní tok z provozní činnosti
Poznámka: Čitatel by bylo možné snížit ještě o výši peněz v pokladně a na běžném účtu</t>
        </r>
      </text>
    </comment>
    <comment ref="A157" authorId="0" shapeId="0" xr:uid="{00000000-0006-0000-1200-000039000000}">
      <text>
        <r>
          <rPr>
            <b/>
            <sz val="8"/>
            <color indexed="81"/>
            <rFont val="Tahoma"/>
            <family val="2"/>
            <charset val="238"/>
          </rPr>
          <t>Mařík Miloš:</t>
        </r>
        <r>
          <rPr>
            <sz val="8"/>
            <color indexed="81"/>
            <rFont val="Tahoma"/>
            <family val="2"/>
            <charset val="238"/>
          </rPr>
          <t xml:space="preserve">
(Výsledek hospodaření před daněmi + Nákladové úroky) / Pasiva celkem
Poznámka: Aby bylo možné rentabilitu vypočítat pro všechny roky časové řady, jsou ve vzorci použita pasiva ke konci roku. Ekonomicky správnější by však bylo počítat rentabilitu z průměrné výše pasiv během roku, případně z výše pasiv k počátu roku.</t>
        </r>
      </text>
    </comment>
    <comment ref="A158" authorId="0" shapeId="0" xr:uid="{00000000-0006-0000-1200-00003A000000}">
      <text>
        <r>
          <rPr>
            <b/>
            <sz val="8"/>
            <color indexed="81"/>
            <rFont val="Tahoma"/>
            <family val="2"/>
            <charset val="238"/>
          </rPr>
          <t>Mařík Miloš:</t>
        </r>
        <r>
          <rPr>
            <sz val="8"/>
            <color indexed="81"/>
            <rFont val="Tahoma"/>
            <family val="2"/>
            <charset val="238"/>
          </rPr>
          <t xml:space="preserve">
Výsledek hospodaření za účetní období / Vlastní kapitál
Poznámka: Aby bylo možné rentabilitu vypočítat pro všechny roky časové řady, je ve vzorci použit vlastní kapitál ke konci roku. Ekonomicky správnější by však bylo počítat rentabilitu z průměrné výše vlastního kapitálu během roku, případně z výše vlastního kapitálu k počátu roku.</t>
        </r>
      </text>
    </comment>
    <comment ref="A159" authorId="0" shapeId="0" xr:uid="{00000000-0006-0000-1200-00003B000000}">
      <text>
        <r>
          <rPr>
            <b/>
            <sz val="8"/>
            <color indexed="81"/>
            <rFont val="Tahoma"/>
            <family val="2"/>
            <charset val="238"/>
          </rPr>
          <t>Mařík Miloš:</t>
        </r>
        <r>
          <rPr>
            <sz val="8"/>
            <color indexed="81"/>
            <rFont val="Tahoma"/>
            <family val="2"/>
            <charset val="238"/>
          </rPr>
          <t xml:space="preserve">
Výsledek hospodaření za účetní období / Tržby</t>
        </r>
      </text>
    </comment>
    <comment ref="A160" authorId="0" shapeId="0" xr:uid="{00000000-0006-0000-1200-00003C000000}">
      <text>
        <r>
          <rPr>
            <b/>
            <sz val="8"/>
            <color indexed="81"/>
            <rFont val="Tahoma"/>
            <family val="2"/>
            <charset val="238"/>
          </rPr>
          <t>Mařík Miloš:</t>
        </r>
        <r>
          <rPr>
            <sz val="8"/>
            <color indexed="81"/>
            <rFont val="Tahoma"/>
            <family val="2"/>
            <charset val="238"/>
          </rPr>
          <t xml:space="preserve">
Provozní výsledek hospodaření / Tržby</t>
        </r>
      </text>
    </comment>
    <comment ref="A161" authorId="0" shapeId="0" xr:uid="{00000000-0006-0000-1200-00003D000000}">
      <text>
        <r>
          <rPr>
            <b/>
            <sz val="8"/>
            <color indexed="81"/>
            <rFont val="Tahoma"/>
            <family val="2"/>
            <charset val="238"/>
          </rPr>
          <t>Mařík Miloš:</t>
        </r>
        <r>
          <rPr>
            <sz val="8"/>
            <color indexed="81"/>
            <rFont val="Tahoma"/>
            <family val="2"/>
            <charset val="238"/>
          </rPr>
          <t xml:space="preserve">
Peněžní tok z provozní činnosti / Tržby</t>
        </r>
      </text>
    </comment>
    <comment ref="A164" authorId="0" shapeId="0" xr:uid="{00000000-0006-0000-1200-00003E000000}">
      <text>
        <r>
          <rPr>
            <b/>
            <sz val="8"/>
            <color indexed="81"/>
            <rFont val="Tahoma"/>
            <family val="2"/>
            <charset val="238"/>
          </rPr>
          <t>Mařík Miloš:</t>
        </r>
        <r>
          <rPr>
            <sz val="8"/>
            <color indexed="81"/>
            <rFont val="Tahoma"/>
            <family val="2"/>
            <charset val="238"/>
          </rPr>
          <t xml:space="preserve">
[Korigovaný provozní výsledek hospodaření x (1 - daňová sazba)] / Tržby</t>
        </r>
      </text>
    </comment>
    <comment ref="A165" authorId="0" shapeId="0" xr:uid="{00000000-0006-0000-1200-00003F000000}">
      <text>
        <r>
          <rPr>
            <b/>
            <sz val="8"/>
            <color indexed="81"/>
            <rFont val="Tahoma"/>
            <family val="2"/>
            <charset val="238"/>
          </rPr>
          <t>Mařík Miloš:</t>
        </r>
        <r>
          <rPr>
            <sz val="8"/>
            <color indexed="81"/>
            <rFont val="Tahoma"/>
            <family val="2"/>
            <charset val="238"/>
          </rPr>
          <t xml:space="preserve">
[Korigovaný provozní výsledek hospodaření x (1 - daňová sazba)] / Provozně nutný investovaný kapitál k počátku roku</t>
        </r>
      </text>
    </comment>
    <comment ref="A168" authorId="0" shapeId="0" xr:uid="{00000000-0006-0000-1200-000040000000}">
      <text>
        <r>
          <rPr>
            <b/>
            <sz val="8"/>
            <color indexed="81"/>
            <rFont val="Tahoma"/>
            <family val="2"/>
            <charset val="238"/>
          </rPr>
          <t>Mařík Miloš:</t>
        </r>
        <r>
          <rPr>
            <sz val="8"/>
            <color indexed="81"/>
            <rFont val="Tahoma"/>
            <family val="2"/>
            <charset val="238"/>
          </rPr>
          <t xml:space="preserve">
Zásoby / (Náklady vynaložené na prodané zboží / 365)
Poznámka: V čitateli jsou pro větší jednoduchost a proto, aby bylo možné dobu obratu počítat pro všechny roky, dosazeny zásoby ke konci roku. Ekonomicky správnější by však bylo dosadit průměrnou výši zásob v daném roce.</t>
        </r>
      </text>
    </comment>
    <comment ref="A169" authorId="0" shapeId="0" xr:uid="{00000000-0006-0000-1200-000041000000}">
      <text>
        <r>
          <rPr>
            <b/>
            <sz val="8"/>
            <color indexed="81"/>
            <rFont val="Tahoma"/>
            <family val="2"/>
            <charset val="238"/>
          </rPr>
          <t>Mařík Miloš:</t>
        </r>
        <r>
          <rPr>
            <sz val="8"/>
            <color indexed="81"/>
            <rFont val="Tahoma"/>
            <family val="2"/>
            <charset val="238"/>
          </rPr>
          <t xml:space="preserve">
Krátkodobé pohledávky / (Tržby / 365)
Poznámka 1: V čitateli jsou pro větší jednoduchost a proto, aby bylo možné dobu obratu počítat pro všechny roky, dosazeny pohledávky ke konci roku. Ekonomicky správnější by však bylo dosadit průměrnou výši pohledávek v daném roce.
Poznámka 2: Při dostatku informací a při snaze vyčíslit dobu obratu co nejpřesněji tak, aby opravdu vyjadřovala průměrnou dobu splatnosti pohledávek, by bylo vhodné nedosazovat celé tržby, ale jen tu jejich část, která se realizuje na fakturu a nikoli za hotové.</t>
        </r>
      </text>
    </comment>
    <comment ref="A170" authorId="0" shapeId="0" xr:uid="{00000000-0006-0000-1200-000042000000}">
      <text>
        <r>
          <rPr>
            <b/>
            <sz val="8"/>
            <color indexed="81"/>
            <rFont val="Tahoma"/>
            <family val="2"/>
            <charset val="238"/>
          </rPr>
          <t>Mařík Miloš:</t>
        </r>
        <r>
          <rPr>
            <sz val="8"/>
            <color indexed="81"/>
            <rFont val="Tahoma"/>
            <family val="2"/>
            <charset val="238"/>
          </rPr>
          <t xml:space="preserve">
Závazky z obchodních vztahů / [(Náklady vynaložené na prodané zboží + Spotřeba materiálu a energie) / 365]
Poznámka: V čitateli jsou pro větší jednoduchost a proto, aby bylo možné dobu obratu počítat pro všechny roky, dosazeny závazky ke konci roku. Ekonomicky správnější by však bylo dosadit průměrnou výši závazků v daném roce.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Mařík Miloš</author>
  </authors>
  <commentList>
    <comment ref="A6" authorId="0" shapeId="0" xr:uid="{00000000-0006-0000-1500-000001000000}">
      <text>
        <r>
          <rPr>
            <b/>
            <sz val="8"/>
            <color indexed="81"/>
            <rFont val="Tahoma"/>
            <family val="2"/>
            <charset val="238"/>
          </rPr>
          <t>Mařík Miloš:</t>
        </r>
        <r>
          <rPr>
            <sz val="8"/>
            <color indexed="81"/>
            <rFont val="Tahoma"/>
            <family val="2"/>
            <charset val="238"/>
          </rPr>
          <t xml:space="preserve">
Nákladové rezervy u podniku UNIPO nebudeme pro účely ocenění považovat za reálný závazek vůči třetí osobě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Mařík Miloš</author>
  </authors>
  <commentList>
    <comment ref="A22" authorId="0" shapeId="0" xr:uid="{00000000-0006-0000-1600-000001000000}">
      <text>
        <r>
          <rPr>
            <b/>
            <sz val="8"/>
            <color indexed="81"/>
            <rFont val="Tahoma"/>
            <family val="2"/>
            <charset val="238"/>
          </rPr>
          <t>Mařík Miloš:</t>
        </r>
        <r>
          <rPr>
            <sz val="8"/>
            <color indexed="81"/>
            <rFont val="Tahoma"/>
            <family val="2"/>
            <charset val="238"/>
          </rPr>
          <t xml:space="preserve">
KPVH / Investovaný kapitál provozně nutný k počátku roku</t>
        </r>
      </text>
    </comment>
    <comment ref="A27" authorId="0" shapeId="0" xr:uid="{00000000-0006-0000-1600-000002000000}">
      <text>
        <r>
          <rPr>
            <b/>
            <sz val="8"/>
            <color indexed="81"/>
            <rFont val="Tahoma"/>
            <family val="2"/>
            <charset val="238"/>
          </rPr>
          <t>Mařík Miloš:</t>
        </r>
        <r>
          <rPr>
            <sz val="8"/>
            <color indexed="81"/>
            <rFont val="Tahoma"/>
            <family val="2"/>
            <charset val="238"/>
          </rPr>
          <t xml:space="preserve">
Pokud by se v rámci KPVH vyskytovaly výraznější rozdíly mezi účetními a daňově uznatelnými výnosy a náklady, bylo by třeba daň počítat z "daňového" KPVH, který by byl rozdílem mezi daňovými výnosy a náklady z hlavního provozu podniku.</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Mařík Miloš</author>
  </authors>
  <commentList>
    <comment ref="A24" authorId="0" shapeId="0" xr:uid="{00000000-0006-0000-1800-000001000000}">
      <text>
        <r>
          <rPr>
            <b/>
            <sz val="8"/>
            <color indexed="81"/>
            <rFont val="Tahoma"/>
            <family val="2"/>
            <charset val="238"/>
          </rPr>
          <t>Mařík Miloš:</t>
        </r>
        <r>
          <rPr>
            <sz val="8"/>
            <color indexed="81"/>
            <rFont val="Tahoma"/>
            <family val="2"/>
            <charset val="238"/>
          </rPr>
          <t xml:space="preserve">
Dlouhodobá prognóza daňové sazby</t>
        </r>
      </text>
    </comment>
  </commentList>
</comments>
</file>

<file path=xl/sharedStrings.xml><?xml version="1.0" encoding="utf-8"?>
<sst xmlns="http://schemas.openxmlformats.org/spreadsheetml/2006/main" count="1587" uniqueCount="930">
  <si>
    <t>AKTIVA CELKEM</t>
  </si>
  <si>
    <t>A.</t>
  </si>
  <si>
    <t>B.</t>
  </si>
  <si>
    <t>B.I.</t>
  </si>
  <si>
    <t>Dlouhodobý nehmotný majetek</t>
  </si>
  <si>
    <t>B.II.</t>
  </si>
  <si>
    <t>Dlouhodobý hmotný majetek</t>
  </si>
  <si>
    <t>Pozemky</t>
  </si>
  <si>
    <t>B.II.2.</t>
  </si>
  <si>
    <t>Stavby</t>
  </si>
  <si>
    <t>B.III.</t>
  </si>
  <si>
    <t>Dlouhodobý finanční majetek</t>
  </si>
  <si>
    <t>Ostatní dlouhodobé cenné papíry a podíly</t>
  </si>
  <si>
    <t>B.III.5.</t>
  </si>
  <si>
    <t>C.</t>
  </si>
  <si>
    <t>Oběžná aktiva</t>
  </si>
  <si>
    <t>C.I.</t>
  </si>
  <si>
    <t>Zásoby</t>
  </si>
  <si>
    <t>C.I.1.</t>
  </si>
  <si>
    <t>Materiál</t>
  </si>
  <si>
    <t>Zboží</t>
  </si>
  <si>
    <t>C.II.</t>
  </si>
  <si>
    <t>Dlouhodobé pohledávky</t>
  </si>
  <si>
    <t>Krátkodobé pohledávky</t>
  </si>
  <si>
    <t>C.IV.</t>
  </si>
  <si>
    <t>Krátkodobý finanční majetek</t>
  </si>
  <si>
    <t>D.</t>
  </si>
  <si>
    <t>PASIVA CELKEM</t>
  </si>
  <si>
    <t>Vlastní kapitál</t>
  </si>
  <si>
    <t>A.I.</t>
  </si>
  <si>
    <t>Základní kapitál</t>
  </si>
  <si>
    <t>A.II.</t>
  </si>
  <si>
    <t>A.III.</t>
  </si>
  <si>
    <t>Fondy ze zisku</t>
  </si>
  <si>
    <t>A.IV.</t>
  </si>
  <si>
    <t>Výsledek hospodaření minulých let</t>
  </si>
  <si>
    <t>A.V.</t>
  </si>
  <si>
    <t>Cizí zdroje</t>
  </si>
  <si>
    <t>Rezervy</t>
  </si>
  <si>
    <t>Dlouhodobé závazky</t>
  </si>
  <si>
    <t>Krátkodobé závazky</t>
  </si>
  <si>
    <t>Závazky k zaměstnancům</t>
  </si>
  <si>
    <t>Stát - daňové závazky a dotace</t>
  </si>
  <si>
    <t>Bankovní úvěry dlouhodobé</t>
  </si>
  <si>
    <t>Tržby za prodej zboží</t>
  </si>
  <si>
    <t>Náklady vynaložené na prodané zboží</t>
  </si>
  <si>
    <t>B</t>
  </si>
  <si>
    <t>Výkonová spotřeba</t>
  </si>
  <si>
    <t>Osobní náklady</t>
  </si>
  <si>
    <t>Mzdové náklady</t>
  </si>
  <si>
    <t>Daně a poplatky</t>
  </si>
  <si>
    <t>E.</t>
  </si>
  <si>
    <t>III.</t>
  </si>
  <si>
    <t>F.</t>
  </si>
  <si>
    <t>*</t>
  </si>
  <si>
    <t>Provozní výsledek hospodaření</t>
  </si>
  <si>
    <t>Výnosy z dlouhodobého finančního majetku</t>
  </si>
  <si>
    <t>Výnosové úroky</t>
  </si>
  <si>
    <t>Nákladové úroky</t>
  </si>
  <si>
    <t>Finanční výsledek hospodaření</t>
  </si>
  <si>
    <t>**</t>
  </si>
  <si>
    <t>***</t>
  </si>
  <si>
    <t>Stav peněžních prostředků na počátku období</t>
  </si>
  <si>
    <t>Z</t>
  </si>
  <si>
    <t>A</t>
  </si>
  <si>
    <t>A.1</t>
  </si>
  <si>
    <t>Úpravy o nepeněžní operace</t>
  </si>
  <si>
    <t>A.1.1</t>
  </si>
  <si>
    <t>A.1.3</t>
  </si>
  <si>
    <t>Změna zůstatků rezerv</t>
  </si>
  <si>
    <t>A.2</t>
  </si>
  <si>
    <t>Úpravy oběžných aktiv</t>
  </si>
  <si>
    <t>A.2.1</t>
  </si>
  <si>
    <t>Změna stavu pohledávek</t>
  </si>
  <si>
    <t>A.2.2</t>
  </si>
  <si>
    <t>A.2.3</t>
  </si>
  <si>
    <t>Změna stavu zásob</t>
  </si>
  <si>
    <t>A.2.4</t>
  </si>
  <si>
    <t>Peněžní tok z provozní činnosti celkem</t>
  </si>
  <si>
    <t>B.1</t>
  </si>
  <si>
    <t>B.1.1</t>
  </si>
  <si>
    <t>B.1.3</t>
  </si>
  <si>
    <t>Nabytí dlouhodobého finančního majetku</t>
  </si>
  <si>
    <t>B.2</t>
  </si>
  <si>
    <t>Peněžní tok z investiční činnosti celkem</t>
  </si>
  <si>
    <t>C</t>
  </si>
  <si>
    <t>C.1</t>
  </si>
  <si>
    <t>C.1.1</t>
  </si>
  <si>
    <t>C.1.3</t>
  </si>
  <si>
    <t>C.2</t>
  </si>
  <si>
    <t>C.2.1</t>
  </si>
  <si>
    <t>Peněžní tok z finanční činnosti celkem</t>
  </si>
  <si>
    <t>PENĚŽNÍ TOK CELKEM</t>
  </si>
  <si>
    <t>Stav peněžních prostředků na konci období</t>
  </si>
  <si>
    <t>Nabytí DHM a DNM</t>
  </si>
  <si>
    <t>Změna dluhopisů</t>
  </si>
  <si>
    <t>Rok</t>
  </si>
  <si>
    <t>Míra inflace</t>
  </si>
  <si>
    <t>VÝSLEDEK</t>
  </si>
  <si>
    <t>Regresní statistika</t>
  </si>
  <si>
    <t>Násobné R</t>
  </si>
  <si>
    <t>Hodnota spolehlivosti R</t>
  </si>
  <si>
    <t>Nastavená hodnota spolehlivosti R</t>
  </si>
  <si>
    <t>Chyba stř. hodnoty</t>
  </si>
  <si>
    <t>Pozorování</t>
  </si>
  <si>
    <t>ANOVA</t>
  </si>
  <si>
    <t>Regrese</t>
  </si>
  <si>
    <t>Rezidua</t>
  </si>
  <si>
    <t>Celkem</t>
  </si>
  <si>
    <t>Hranice</t>
  </si>
  <si>
    <t>Rozdíl</t>
  </si>
  <si>
    <t>SS</t>
  </si>
  <si>
    <t>MS</t>
  </si>
  <si>
    <t>F</t>
  </si>
  <si>
    <t>Významnost F</t>
  </si>
  <si>
    <t>Koeficienty</t>
  </si>
  <si>
    <t>t stat</t>
  </si>
  <si>
    <t>Hodnota P</t>
  </si>
  <si>
    <t>Dolní 95%</t>
  </si>
  <si>
    <t>Horní 95%</t>
  </si>
  <si>
    <t>Dolní 95,0%</t>
  </si>
  <si>
    <t>Horní 95,0%</t>
  </si>
  <si>
    <t>Tempo</t>
  </si>
  <si>
    <t>Tržby UNIPO</t>
  </si>
  <si>
    <t>Relevantní trh</t>
  </si>
  <si>
    <t>Tržní podíl UNIPO</t>
  </si>
  <si>
    <t>Rentabilita</t>
  </si>
  <si>
    <t>Rentabilita vlastního kapitálu po dani</t>
  </si>
  <si>
    <t>Rentabilita tržeb po dani</t>
  </si>
  <si>
    <t>Likvidita</t>
  </si>
  <si>
    <t>Okamžitá likvidita</t>
  </si>
  <si>
    <t>Pohotová likvidita</t>
  </si>
  <si>
    <t>Běžná likvidita</t>
  </si>
  <si>
    <t>Aktivita</t>
  </si>
  <si>
    <t>Doba obratu zásob</t>
  </si>
  <si>
    <t>Doba obratu pohledávek</t>
  </si>
  <si>
    <t>Zadluženost</t>
  </si>
  <si>
    <t>Doba obratu obchodních závazků</t>
  </si>
  <si>
    <t>Úrokové krytí</t>
  </si>
  <si>
    <t>Průměrná doba splácení dluhů</t>
  </si>
  <si>
    <t>A.1.2</t>
  </si>
  <si>
    <t>C.1.2</t>
  </si>
  <si>
    <t>C.2.2</t>
  </si>
  <si>
    <t>Průměr</t>
  </si>
  <si>
    <t>Rentabilita tržeb z provozního zisku</t>
  </si>
  <si>
    <t>Růst trhu</t>
  </si>
  <si>
    <t>Tempo růstu tržeb UNIPO</t>
  </si>
  <si>
    <t>Rentabilita tržeb z provozního cash flow</t>
  </si>
  <si>
    <t>Podíl vlastního kapitálu na celkovém</t>
  </si>
  <si>
    <t>Struktura aktiv</t>
  </si>
  <si>
    <t>Struktura pasiv</t>
  </si>
  <si>
    <r>
      <t>Krátkodobé pohledávky</t>
    </r>
    <r>
      <rPr>
        <sz val="10"/>
        <rFont val="Arial CE"/>
        <family val="2"/>
        <charset val="238"/>
      </rPr>
      <t xml:space="preserve"> (obchodní)</t>
    </r>
  </si>
  <si>
    <t>Tempa růstu aktivních položek</t>
  </si>
  <si>
    <t>Tempa růstu pasivních položek</t>
  </si>
  <si>
    <t xml:space="preserve">Odpisy </t>
  </si>
  <si>
    <t>Položka</t>
  </si>
  <si>
    <t>Rentabilita celkového kapitálu z EBIT</t>
  </si>
  <si>
    <t>Tempo růstu tržeb</t>
  </si>
  <si>
    <t>g</t>
  </si>
  <si>
    <t>Náročnost růstu tržeb na:</t>
  </si>
  <si>
    <t xml:space="preserve">    - růst pracovního kapitálu</t>
  </si>
  <si>
    <t xml:space="preserve">    - růst dlouhodobého majetku</t>
  </si>
  <si>
    <t>Pesimistická</t>
  </si>
  <si>
    <t>Střední</t>
  </si>
  <si>
    <t>Optimistická</t>
  </si>
  <si>
    <t>Tržby</t>
  </si>
  <si>
    <t>1) Tržby</t>
  </si>
  <si>
    <t>Tempo růstu</t>
  </si>
  <si>
    <t>Odpisy</t>
  </si>
  <si>
    <t>Zásoby celkem</t>
  </si>
  <si>
    <t xml:space="preserve">      z toho  materiál</t>
  </si>
  <si>
    <t xml:space="preserve">                 zboží</t>
  </si>
  <si>
    <t>Pohledávky za odběrateli</t>
  </si>
  <si>
    <t xml:space="preserve">                  závazky k zaměstnancům</t>
  </si>
  <si>
    <t xml:space="preserve">                  závazky ze soc. zabezpečení</t>
  </si>
  <si>
    <t xml:space="preserve">                  stát - daňové závazky a dotace</t>
  </si>
  <si>
    <t>Investice netto</t>
  </si>
  <si>
    <t xml:space="preserve">  z toho Mzdové náklady</t>
  </si>
  <si>
    <t xml:space="preserve">            Náklady na sociální zabezpečení</t>
  </si>
  <si>
    <t xml:space="preserve">       z toho závazky z obchodního styku</t>
  </si>
  <si>
    <t>Upravený pracovní kapitál</t>
  </si>
  <si>
    <t>Pohledávky</t>
  </si>
  <si>
    <t>Peněžní prostředky provozně nutné</t>
  </si>
  <si>
    <t>Provozně nutné peníze</t>
  </si>
  <si>
    <t>Investice brutto</t>
  </si>
  <si>
    <t>Nehmotný majetek</t>
  </si>
  <si>
    <t>Stav majetku ke konci roku</t>
  </si>
  <si>
    <t>Majetek</t>
  </si>
  <si>
    <t>Odhad podle minulého koeficientu náročnosti:</t>
  </si>
  <si>
    <t>Odhad podle koeficientu náročnosti u podobných podniků:</t>
  </si>
  <si>
    <t>Minulý koeficent náročnosti</t>
  </si>
  <si>
    <t>Obvyklý koeficent náročnosti</t>
  </si>
  <si>
    <t>Odhad podle názoru podnikového managementu:</t>
  </si>
  <si>
    <t>Výsledný odhad investic (průměr z obvyklých investic a odhadu managementu):</t>
  </si>
  <si>
    <t>Tis. Kč</t>
  </si>
  <si>
    <t xml:space="preserve">             - zůstatková hodnota</t>
  </si>
  <si>
    <t>Celkem  - odpisy</t>
  </si>
  <si>
    <t>Původní - odpisy</t>
  </si>
  <si>
    <t>Zůstatková hodnota prodaného zařízení</t>
  </si>
  <si>
    <t>Finanční analýza plánu</t>
  </si>
  <si>
    <t>Koeficient náročnosti růstu tržeb na růst prac. kap.</t>
  </si>
  <si>
    <t>mil. Kč</t>
  </si>
  <si>
    <t>Podíl odpisů na tržbách</t>
  </si>
  <si>
    <t>A K T I V A</t>
  </si>
  <si>
    <t>P A S I V A</t>
  </si>
  <si>
    <t>Průměrná doba splácení dluhů (roky)</t>
  </si>
  <si>
    <t>Doba obratu pohledávek (dny)</t>
  </si>
  <si>
    <t>Doba obratu obchodních závazků (dny)</t>
  </si>
  <si>
    <t>a) Přepracovaný splátkový kalendář:</t>
  </si>
  <si>
    <t>Datum splacení</t>
  </si>
  <si>
    <t>Počet měsíců od data ocenění</t>
  </si>
  <si>
    <r>
      <t>Částka</t>
    </r>
    <r>
      <rPr>
        <sz val="10"/>
        <rFont val="Arial CE"/>
        <family val="2"/>
        <charset val="238"/>
      </rPr>
      <t xml:space="preserve">       (tis. Kč)</t>
    </r>
  </si>
  <si>
    <t>b) Zástava:</t>
  </si>
  <si>
    <t>Prodejní cena nemovitosti (tis. Kč)</t>
  </si>
  <si>
    <t>Část pohledávky, která bude uhrazena z prodeje zástavy (tis. Kč):</t>
  </si>
  <si>
    <t>1. Rozdělení pohledávky do kategorií</t>
  </si>
  <si>
    <t>2. Stanovení diskontní míry (podle metodiky J. Šantrůčka)</t>
  </si>
  <si>
    <t>Riziko pohledávky:</t>
  </si>
  <si>
    <t>V:</t>
  </si>
  <si>
    <t xml:space="preserve">             Riziková přirážka pohledávky:</t>
  </si>
  <si>
    <t xml:space="preserve">             Diskontní míra:</t>
  </si>
  <si>
    <t>b) Příjem z prodeje zástavy:</t>
  </si>
  <si>
    <t>3. Současná hodnota plateb</t>
  </si>
  <si>
    <t>Diskontovaná částka</t>
  </si>
  <si>
    <t>tis. Kč</t>
  </si>
  <si>
    <t>Obvyklé náklady kapitálu pro investice do odvětví dlužníka:</t>
  </si>
  <si>
    <t xml:space="preserve">             t (počet měsíců od data ocenění)</t>
  </si>
  <si>
    <t>Počet let zbývajících do splatnosti:</t>
  </si>
  <si>
    <t>Ocenění dluhopisů:</t>
  </si>
  <si>
    <t>Investovaný provozně nutný kapitál</t>
  </si>
  <si>
    <t>Investovaný kapitál celkem</t>
  </si>
  <si>
    <t>Provozně potřebná likvidita</t>
  </si>
  <si>
    <t>Provozně potřebný finanční majetek</t>
  </si>
  <si>
    <t>Provozně nepotřebný finanční majetek</t>
  </si>
  <si>
    <t>31. 12.</t>
  </si>
  <si>
    <t>Volné cash flow pro 1. fázi</t>
  </si>
  <si>
    <t>Úpravy o nepeněžní operace (změna rezerv)</t>
  </si>
  <si>
    <t>FCFF</t>
  </si>
  <si>
    <t>Odúročitel pro diskontní míru:</t>
  </si>
  <si>
    <t>Pokračující hodnota</t>
  </si>
  <si>
    <t xml:space="preserve">    - investice netto celkem</t>
  </si>
  <si>
    <t>Rentabilita investic netto</t>
  </si>
  <si>
    <t>Míra investic netto</t>
  </si>
  <si>
    <t>Parametrický vzorec</t>
  </si>
  <si>
    <t>Investice do provozně nutného prac. kapitálu</t>
  </si>
  <si>
    <t>Současná hodnota 1. fáze</t>
  </si>
  <si>
    <t>Současná hodnota 2. fáze</t>
  </si>
  <si>
    <t xml:space="preserve"> tis. Kč</t>
  </si>
  <si>
    <t>Provozní hodnota brutto</t>
  </si>
  <si>
    <t>Úročený cizí kapitál k datu ocenění</t>
  </si>
  <si>
    <t>Provozní hodnota netto</t>
  </si>
  <si>
    <t>Neprovozní majetek k datu ocenění</t>
  </si>
  <si>
    <t>Vstupní veličiny</t>
  </si>
  <si>
    <t>NOPAT</t>
  </si>
  <si>
    <t>WACC</t>
  </si>
  <si>
    <t>EVA</t>
  </si>
  <si>
    <t>Diskontovaná EVA</t>
  </si>
  <si>
    <t>MVA</t>
  </si>
  <si>
    <t>NOA k datu ocenění</t>
  </si>
  <si>
    <t>Váha</t>
  </si>
  <si>
    <t>Počet x váha</t>
  </si>
  <si>
    <t>OBCHODNÍ RIZIKO</t>
  </si>
  <si>
    <t>I.   Rizika oboru</t>
  </si>
  <si>
    <t>II.  Rizika trhu</t>
  </si>
  <si>
    <t>III. Rizika z konkurence</t>
  </si>
  <si>
    <t>IV. Management</t>
  </si>
  <si>
    <t>V. Výrobní proces</t>
  </si>
  <si>
    <t>VI. Specifické faktory</t>
  </si>
  <si>
    <t>FINANČNÍ RIZIKO</t>
  </si>
  <si>
    <t xml:space="preserve">Počet  kritérií </t>
  </si>
  <si>
    <t xml:space="preserve">   Poměr OR : FR</t>
  </si>
  <si>
    <t>X - stupeň rizika</t>
  </si>
  <si>
    <t>1  Nízké riziko</t>
  </si>
  <si>
    <t>2  Přiměřené riziko</t>
  </si>
  <si>
    <t>3  Zvýšené riziko</t>
  </si>
  <si>
    <t>4  Vysoké riziko</t>
  </si>
  <si>
    <t>A. OBCHODNÍ RIZIKO</t>
  </si>
  <si>
    <t>I. Rizika oboru</t>
  </si>
  <si>
    <t>Počet</t>
  </si>
  <si>
    <t>Vážený počet</t>
  </si>
  <si>
    <t>Nízké</t>
  </si>
  <si>
    <t>Přiměřené</t>
  </si>
  <si>
    <t>Zvýšené</t>
  </si>
  <si>
    <t>Vysoké</t>
  </si>
  <si>
    <t>Součet</t>
  </si>
  <si>
    <t>II. Rizika trhu</t>
  </si>
  <si>
    <t>B. FINANČNÍ RIZIKO</t>
  </si>
  <si>
    <t>Finanční rizika</t>
  </si>
  <si>
    <t>NÁKLADY VLASTNÍHO KAPITÁLU</t>
  </si>
  <si>
    <t>Bezriziková výnosová míra</t>
  </si>
  <si>
    <t xml:space="preserve">Obchodní riziko </t>
  </si>
  <si>
    <t>Finanční riziko</t>
  </si>
  <si>
    <t>Riziková prémie celkem</t>
  </si>
  <si>
    <t>Náklady vlastního kapitálu</t>
  </si>
  <si>
    <t>Roční tempo růstu</t>
  </si>
  <si>
    <t>Průměrné tempo růstu za minulost a plán</t>
  </si>
  <si>
    <t>Průměrné tempo růstu výk. spotř.  za minulost a plán</t>
  </si>
  <si>
    <t>Průměrná inflace</t>
  </si>
  <si>
    <t>Počet hodnocených kritérií</t>
  </si>
  <si>
    <r>
      <t xml:space="preserve">   n</t>
    </r>
    <r>
      <rPr>
        <vertAlign val="subscript"/>
        <sz val="10"/>
        <rFont val="Arial CE"/>
        <family val="2"/>
        <charset val="238"/>
      </rPr>
      <t>vk max</t>
    </r>
  </si>
  <si>
    <r>
      <t xml:space="preserve">   Základní jednotková míra  (r</t>
    </r>
    <r>
      <rPr>
        <vertAlign val="subscript"/>
        <sz val="10"/>
        <rFont val="Arial CE"/>
        <family val="2"/>
        <charset val="238"/>
      </rPr>
      <t>f</t>
    </r>
    <r>
      <rPr>
        <sz val="10"/>
        <rFont val="Arial CE"/>
        <family val="2"/>
        <charset val="238"/>
      </rPr>
      <t xml:space="preserve"> / počet)</t>
    </r>
  </si>
  <si>
    <t>Rating České republiky</t>
  </si>
  <si>
    <t>Riziková prémie země</t>
  </si>
  <si>
    <t>Odhad poměru rizikové prémie u akcií oproti dluhopisům</t>
  </si>
  <si>
    <t>Riziková přirážka za menší společnost - odhad</t>
  </si>
  <si>
    <t>Poměr cizího a vlastního kapitálu u oceňovaného podniku</t>
  </si>
  <si>
    <t>Daňová sazba</t>
  </si>
  <si>
    <t>Beta zadlužené</t>
  </si>
  <si>
    <t>Výsledný podíl CK/VK</t>
  </si>
  <si>
    <t>Dlouhodobý majetek</t>
  </si>
  <si>
    <t>Pohledávky z obchodních vztahů</t>
  </si>
  <si>
    <t>Výsledek hospodaření běž. úč. období  (+-)</t>
  </si>
  <si>
    <t>Vydané dluhopisy</t>
  </si>
  <si>
    <t>Závazky z obchodních vztahů</t>
  </si>
  <si>
    <t>Závazky ze sociál. zabezpečení a zdrav. poj.</t>
  </si>
  <si>
    <t>Výsledek hospodaření běžného úč. období  (+-)</t>
  </si>
  <si>
    <t>Závazky ze sociálního zabezpečení a zdrav. pojištění</t>
  </si>
  <si>
    <t>Výsledek hospodaření za účetní období</t>
  </si>
  <si>
    <t>Výsledek hospodaření před zdaněním</t>
  </si>
  <si>
    <t>Změna stavu krátkodobých bankovních úvěrů</t>
  </si>
  <si>
    <t>Změna stavu krátkodobých cenných papírů</t>
  </si>
  <si>
    <t>Nabytí dlouhodobého majetku</t>
  </si>
  <si>
    <t>Výplata dividend a podílů ze zisku</t>
  </si>
  <si>
    <t>Změna stavu krátk. závazků a pasivních účtů čas. rozlišení</t>
  </si>
  <si>
    <t>Změna stavu pohledávek a aktivních účtů čas. rozlišení</t>
  </si>
  <si>
    <t>Ostatní provozní položky (změna rezerv)</t>
  </si>
  <si>
    <t>a) Provozně potřebný</t>
  </si>
  <si>
    <t>b) Provozně nepotřebný:</t>
  </si>
  <si>
    <t>b) Provozně nepotřebné</t>
  </si>
  <si>
    <t>a) Provozně potřebné</t>
  </si>
  <si>
    <t>a) Hlavní činnost - náklady a výnosy spojené s provozním majetkem</t>
  </si>
  <si>
    <t>b) Náklady na cizí kapitál</t>
  </si>
  <si>
    <t>d) Celkový výsledek hospodaření</t>
  </si>
  <si>
    <t>Korigovaný provozní výsledek hospodaření</t>
  </si>
  <si>
    <t>Zisková marže po odpisech a po dani</t>
  </si>
  <si>
    <t xml:space="preserve">Daň </t>
  </si>
  <si>
    <t>a) Peněžní tok z provozního majetku</t>
  </si>
  <si>
    <t>Korigovaný provozní VH po dani</t>
  </si>
  <si>
    <t>Odpisy dlouhodobého majetku (provozně nutného)</t>
  </si>
  <si>
    <t>Úpravy oběžných aktiv (provozně nutných)</t>
  </si>
  <si>
    <t>Nabytí dlouhodobého majetku (provozně nutného)</t>
  </si>
  <si>
    <t>1) PENĚŽNÍ TOK Z PROVOZU</t>
  </si>
  <si>
    <t>2) INVESTIČNÍ ČINNOST</t>
  </si>
  <si>
    <t>Snížení dlouhodobého fin. majetku (splátka půjčky)</t>
  </si>
  <si>
    <t>Výsledek hospodaření za účetní období po dani</t>
  </si>
  <si>
    <t>PLATBA NÁKLADOVÝCH ÚROKŮ</t>
  </si>
  <si>
    <t>PENĚŽNÍ TOK Z NEPROVOZNÍHO MAJ. CELKEM</t>
  </si>
  <si>
    <t>c) Peněžní tok z neprovozního majetku</t>
  </si>
  <si>
    <t>d) Finanční činnost</t>
  </si>
  <si>
    <t>Změna dlouhodobých bankovních úvěrů</t>
  </si>
  <si>
    <t>PENĚŽNÍ TOK Z FINANČNÍ ČINNOSTI CELKEM</t>
  </si>
  <si>
    <t>e) Peněžní tok celkem</t>
  </si>
  <si>
    <t>Nabytí neprovozního majetku</t>
  </si>
  <si>
    <t>Prodej neprovozního majetku</t>
  </si>
  <si>
    <t>Mimořádný výsledek hospodaření před daní</t>
  </si>
  <si>
    <t>Celkový výsledek hospodaření před daní</t>
  </si>
  <si>
    <t>Změna dlouhodobého finančního majetku</t>
  </si>
  <si>
    <t>Úroková míra z dluhopisů</t>
  </si>
  <si>
    <t>Úroková míra z dlouhodobých úvěrů</t>
  </si>
  <si>
    <t>Úroková míra z krátkodobých úvěrů</t>
  </si>
  <si>
    <t xml:space="preserve">   a daňovou úsporu z nákladových úroků</t>
  </si>
  <si>
    <t xml:space="preserve">*) Diference v dani zahrnuje daň z výnosů z neprovozního majetku, daň z mimořádného zisku </t>
  </si>
  <si>
    <t>Provozní CF v pojetí účetního výkazu peněžních toků</t>
  </si>
  <si>
    <t>Ukazatel</t>
  </si>
  <si>
    <t>Plánovaná výsledovka (tis. Kč)</t>
  </si>
  <si>
    <t>Plánovaný výkaz peněžních toků (tis.Kč)</t>
  </si>
  <si>
    <t>Plánovaná rozvaha (tis. Kč)</t>
  </si>
  <si>
    <t>Doba obratu zásob (dny)</t>
  </si>
  <si>
    <t>Průměrné vážené náklady kapitálu</t>
  </si>
  <si>
    <t>Vlastní kapitál + nákladové rezervy</t>
  </si>
  <si>
    <t>Dluhopisy</t>
  </si>
  <si>
    <t>Bankovní úvěry krátkodobé</t>
  </si>
  <si>
    <t>Zpoplatněný kapitál celkem</t>
  </si>
  <si>
    <t>Splatnost</t>
  </si>
  <si>
    <t>let</t>
  </si>
  <si>
    <t>Nominální hodnota 1 ks</t>
  </si>
  <si>
    <t>Kč</t>
  </si>
  <si>
    <t>Nominální (kuponová) výnosnost</t>
  </si>
  <si>
    <t>Počet dluhopisů</t>
  </si>
  <si>
    <t>ks</t>
  </si>
  <si>
    <t>Úroková míra</t>
  </si>
  <si>
    <t>rok</t>
  </si>
  <si>
    <t>ZADÁNÍ</t>
  </si>
  <si>
    <t>ŘEŠENÍ</t>
  </si>
  <si>
    <t>a) Účetní struktura kapitálu k datu ocenění:</t>
  </si>
  <si>
    <t>Počet akcií</t>
  </si>
  <si>
    <t>Cizí kapitál celkem</t>
  </si>
  <si>
    <t>Celkový zpoplatněný kapitál</t>
  </si>
  <si>
    <t>Podíl</t>
  </si>
  <si>
    <t>Zbývající počet let do splatnosti</t>
  </si>
  <si>
    <t>Časová řada ročních toků z dluhopisu</t>
  </si>
  <si>
    <t>Výnos do doby splatnosti dluhopisů</t>
  </si>
  <si>
    <r>
      <t>n</t>
    </r>
    <r>
      <rPr>
        <b/>
        <vertAlign val="subscript"/>
        <sz val="10"/>
        <rFont val="Arial CE"/>
        <family val="2"/>
        <charset val="238"/>
      </rPr>
      <t>CK</t>
    </r>
  </si>
  <si>
    <t>Tržní hodnota</t>
  </si>
  <si>
    <t>Součin</t>
  </si>
  <si>
    <t>Průměrné náklady cizího kapitálu</t>
  </si>
  <si>
    <t>c) Náklady na vlastní kapitál</t>
  </si>
  <si>
    <t>Odhad pomocí modelu CAPM a rizikové prémie země</t>
  </si>
  <si>
    <r>
      <t xml:space="preserve">Odhad pomocí stavebnicová metody </t>
    </r>
    <r>
      <rPr>
        <i/>
        <sz val="10"/>
        <rFont val="Arial CE"/>
        <family val="2"/>
        <charset val="238"/>
      </rPr>
      <t>(pomocná informace)</t>
    </r>
  </si>
  <si>
    <t>d) Průměrné vážené náklady kapitálu</t>
  </si>
  <si>
    <t>Náklad</t>
  </si>
  <si>
    <t xml:space="preserve">Cizí kapitál po dani </t>
  </si>
  <si>
    <t>Výsledný podíl VK/K</t>
  </si>
  <si>
    <t>Roční kupónový výnos nominální</t>
  </si>
  <si>
    <t>Výpočet provozně potřebných peněžních prostředků:</t>
  </si>
  <si>
    <t>Upravená daň</t>
  </si>
  <si>
    <t>Investice do provozně nutného dlouhodobého majetku</t>
  </si>
  <si>
    <t>P/E</t>
  </si>
  <si>
    <t>EV/EBIT</t>
  </si>
  <si>
    <t>Míra investic netto do DM a PK</t>
  </si>
  <si>
    <t>VI. Ostatní faktory</t>
  </si>
  <si>
    <t>b) Informace o položkách kapitálu:</t>
  </si>
  <si>
    <t>Současná tržní cena (dopočet z iterací)</t>
  </si>
  <si>
    <t>(+) odpisy</t>
  </si>
  <si>
    <t>Cenový index řetězový</t>
  </si>
  <si>
    <t>UVH upravený o inflaci</t>
  </si>
  <si>
    <t>Váhy</t>
  </si>
  <si>
    <t>Trvale odnímatelný čistý výnos před odpisy</t>
  </si>
  <si>
    <t>Odpisy z reprodukčních cen ze zadání</t>
  </si>
  <si>
    <t>(-) Tržby z prodeje dlouh.majetku</t>
  </si>
  <si>
    <t>Výnosová hodnota provozní</t>
  </si>
  <si>
    <t>(-) Mimořádné výnosy</t>
  </si>
  <si>
    <t>(+) Mimořádné náklady</t>
  </si>
  <si>
    <t xml:space="preserve">(-) Finanční výnosy </t>
  </si>
  <si>
    <t>Trvale odnímatelný čistý výnos před daní</t>
  </si>
  <si>
    <t>Daňový základ (s odpisy z posledního roku)</t>
  </si>
  <si>
    <r>
      <t>Kalkulavaná úroková míra (n</t>
    </r>
    <r>
      <rPr>
        <b/>
        <vertAlign val="subscript"/>
        <sz val="10"/>
        <rFont val="Arial CE"/>
        <family val="2"/>
        <charset val="238"/>
      </rPr>
      <t>VK</t>
    </r>
    <r>
      <rPr>
        <b/>
        <sz val="10"/>
        <rFont val="Arial CE"/>
        <family val="2"/>
        <charset val="238"/>
      </rPr>
      <t xml:space="preserve"> bez inflace)</t>
    </r>
  </si>
  <si>
    <t>Předpokládaná dlouhodobá inflace</t>
  </si>
  <si>
    <t>UVH upravený o inflaci x váhy</t>
  </si>
  <si>
    <t>P/BV</t>
  </si>
  <si>
    <t>EV/Tržby</t>
  </si>
  <si>
    <t>Rentabilita investovaného kapitálu</t>
  </si>
  <si>
    <r>
      <t xml:space="preserve">WACC x NOA </t>
    </r>
    <r>
      <rPr>
        <vertAlign val="subscript"/>
        <sz val="10"/>
        <rFont val="Arial CE"/>
        <family val="2"/>
        <charset val="238"/>
      </rPr>
      <t>t-1</t>
    </r>
  </si>
  <si>
    <t>ANALÝZA VNĚJŠÍHO POTENCIÁLU</t>
  </si>
  <si>
    <t>1) Regresní analýza - závislost trhu na čase lineární</t>
  </si>
  <si>
    <t>Poznámka:</t>
  </si>
  <si>
    <t>Vnější potenciál</t>
  </si>
  <si>
    <t>Strategická analýza</t>
  </si>
  <si>
    <t>ANALÝZA TRŽNÍHO PODÍLU UNIPO (údaje v mil. Kč)</t>
  </si>
  <si>
    <t>Průměrné tempo růstu tržeb UNIPO</t>
  </si>
  <si>
    <t>Shrnutí výsledků regresní analýzy a prognóza trhu</t>
  </si>
  <si>
    <t>Komentář</t>
  </si>
  <si>
    <t>Výkazy UNIPO za minulé období</t>
  </si>
  <si>
    <t>Rozvaha</t>
  </si>
  <si>
    <t>FINANČNÍ VÝKAZY UNIPO (údaje v tis. Kč)</t>
  </si>
  <si>
    <t>Výsledovka</t>
  </si>
  <si>
    <t>Výkaz peněžních toků</t>
  </si>
  <si>
    <t>Cash flow</t>
  </si>
  <si>
    <t>Finanční analýza</t>
  </si>
  <si>
    <t>FINANČNÍ ANALÝZA</t>
  </si>
  <si>
    <t>Struktura rozvahy (tj. vertikální analýza)</t>
  </si>
  <si>
    <t>Tempo růstu položek rozvahy (tj. horizontální analýza)</t>
  </si>
  <si>
    <t>Struktura rozvahy</t>
  </si>
  <si>
    <t>Tempo rozvaha</t>
  </si>
  <si>
    <t>Struktura výsledovky</t>
  </si>
  <si>
    <t>Tempo výsledovka</t>
  </si>
  <si>
    <t>Vertikální a horizontální analýza finančních výkazů</t>
  </si>
  <si>
    <t>Struktura výsledovky (tj. vertikální analýza)</t>
  </si>
  <si>
    <t>Tempo růstu položek výsledovky (tj. horizontální analýza)</t>
  </si>
  <si>
    <t>Poměrové ukazatele</t>
  </si>
  <si>
    <t>Ukazatele</t>
  </si>
  <si>
    <t>ANALÝZA A PROGNÓZA GENERÁTORŮ HODNOTY</t>
  </si>
  <si>
    <t>Osobní náklady (tis. Kč)</t>
  </si>
  <si>
    <t>Provozně nutná likvidita</t>
  </si>
  <si>
    <t>a) Výpočet koeficientů náročnosti za minulé období</t>
  </si>
  <si>
    <t>b) Odhad investic pro budoucí období</t>
  </si>
  <si>
    <t>c) Plán dlouhodobého majetku, investic a odpisů (tis. Kč)</t>
  </si>
  <si>
    <t>b) Provozně nutné peníze</t>
  </si>
  <si>
    <t>c) Upravený pracovní kapitál (tis. Kč)</t>
  </si>
  <si>
    <t>Generátory</t>
  </si>
  <si>
    <t>Analýza a prognóza generátorů hodnoty</t>
  </si>
  <si>
    <t>FINANČNÍ PLÁN</t>
  </si>
  <si>
    <t>Finanční plán</t>
  </si>
  <si>
    <t>Plán</t>
  </si>
  <si>
    <t>Výsledovka, cash flow, rozvaha, finanční analýza plánu</t>
  </si>
  <si>
    <t>PŘEDBĚŽNÉ ORIENTAČNÍ OCENĚNÍ NA ZÁKLADĚ GENERÁTORŮ HODNOTY</t>
  </si>
  <si>
    <t>Označení</t>
  </si>
  <si>
    <t>Generátor hodnoty</t>
  </si>
  <si>
    <r>
      <t>r</t>
    </r>
    <r>
      <rPr>
        <vertAlign val="subscript"/>
        <sz val="10"/>
        <rFont val="Arial"/>
        <family val="2"/>
      </rPr>
      <t>ZPx</t>
    </r>
  </si>
  <si>
    <r>
      <t>k</t>
    </r>
    <r>
      <rPr>
        <vertAlign val="subscript"/>
        <sz val="10"/>
        <rFont val="Arial"/>
        <family val="2"/>
      </rPr>
      <t>WC</t>
    </r>
  </si>
  <si>
    <r>
      <t>i</t>
    </r>
    <r>
      <rPr>
        <vertAlign val="subscript"/>
        <sz val="10"/>
        <rFont val="Arial"/>
        <family val="2"/>
      </rPr>
      <t>k</t>
    </r>
  </si>
  <si>
    <t>Hodnota podniku brutto</t>
  </si>
  <si>
    <t>OCENĚNÍ PROVOZNĚ NEPOTŘEBNÉ POHLEDÁVKY</t>
  </si>
  <si>
    <t>OCENĚNÍ PROVOZNĚ NEPOTŘEBNÝCH NAKOUPENÝCH DLUHOPISŮ</t>
  </si>
  <si>
    <t>Generátory - ocenění</t>
  </si>
  <si>
    <t>Náklady kapitálu (diskontní míra pro výnosové ocenění)</t>
  </si>
  <si>
    <t>Náklady vlastního kapitálu odvozené z CAPM pomocí rizika země</t>
  </si>
  <si>
    <t>Náklady vlastního kapitálu odvozené pomocí komplexní stavebnicové metody</t>
  </si>
  <si>
    <t xml:space="preserve">   Bezriziková výnosová míra:</t>
  </si>
  <si>
    <t>NÁKLADY VLASTNÍHO KAPITÁLU -  CAPM S RIZIKOVOU PRÉMIÍ ZEMĚ</t>
  </si>
  <si>
    <t>NÁKLADY VLASTNÍHO KAPITÁLU - KOMPLEXNÍ STAVEBNICOVÁ METODA</t>
  </si>
  <si>
    <t>Celkové náklady kapitálu</t>
  </si>
  <si>
    <t>PRŮMĚRNÉ VÁŽENÉ NÁKLADY KAPITÁLU</t>
  </si>
  <si>
    <t>Položka kapitálu</t>
  </si>
  <si>
    <t>VÝNOSOVÉ OCENĚNÍ - METODA DCF</t>
  </si>
  <si>
    <t>Gordonův vzorec</t>
  </si>
  <si>
    <t>Kontrolní propočty tržní struktury pro odhad nákladů kapitálu</t>
  </si>
  <si>
    <t>VÝNOSOVÉ OCENĚNÍ - METODA EVA / MVA</t>
  </si>
  <si>
    <t>VÝNOSOVÉ OCENĚNÍ - METODA KAPITALIZOVANÝCH ČISTÝCH VÝNOSŮ</t>
  </si>
  <si>
    <t>Paušální metoda</t>
  </si>
  <si>
    <t>Výsledná hodnota vlastního kapitálu podle EVA</t>
  </si>
  <si>
    <t>Výsledná hodnota vlastního kapitálu podle DCF</t>
  </si>
  <si>
    <t>Hodnota vlastního kapitálu podle KČV</t>
  </si>
  <si>
    <t>Výnosové ocenění podniku UNIPO</t>
  </si>
  <si>
    <t>DCF</t>
  </si>
  <si>
    <t>KČV</t>
  </si>
  <si>
    <t>Metoda diskontovaných peněžních toků</t>
  </si>
  <si>
    <t>Metoda ekonomické přidané hodnoty</t>
  </si>
  <si>
    <t>Metoda kapitalizovaných čistých výnosů (paušální)</t>
  </si>
  <si>
    <t>4. Hodnota pohledávky celkem (tis. Kč)</t>
  </si>
  <si>
    <t>Výnos do doby splatnosti u podobně rizikových dluhopisů</t>
  </si>
  <si>
    <t>Základní údaje o dluhopisech:</t>
  </si>
  <si>
    <t>Zásobitel pro 7 let a 7 %</t>
  </si>
  <si>
    <t>Současná hodnota kupónových plateb</t>
  </si>
  <si>
    <t>Současná hodnota splátky nominální hodnoty</t>
  </si>
  <si>
    <t>Tržní hodnota dluhopisů</t>
  </si>
  <si>
    <t>Majetkové ocenění - provozně nepotřebné položky</t>
  </si>
  <si>
    <t>Ocenění poskytnuté půjčky</t>
  </si>
  <si>
    <t>Ocenění nakoupených dluhopisů</t>
  </si>
  <si>
    <t>kap. 3.2.2.3</t>
  </si>
  <si>
    <t>kap. 3.2.4</t>
  </si>
  <si>
    <t>Prognóza tržeb UNIPO na základě prognózy trhu a tržního podílu</t>
  </si>
  <si>
    <t>Příloha - zadání příkladu UNIPO</t>
  </si>
  <si>
    <t>kap. 3.6</t>
  </si>
  <si>
    <t>kap. 4.1.6.4</t>
  </si>
  <si>
    <t>kap. 4.1.6.5</t>
  </si>
  <si>
    <t>kap. 4.2.3.5</t>
  </si>
  <si>
    <t>kap. 7.1</t>
  </si>
  <si>
    <t>kap. 6.6.3.3</t>
  </si>
  <si>
    <t>Číslo a název listu</t>
  </si>
  <si>
    <t>TRŽNÍ HODNOTA PODNIKU UNIPO, A.S.</t>
  </si>
  <si>
    <t xml:space="preserve">Modelový příklad ke knize: </t>
  </si>
  <si>
    <t>Příjmy z neprovozního majetku a mimoř. příjmy</t>
  </si>
  <si>
    <t>Provozní hodnota VK na 1 akcii (Kč)</t>
  </si>
  <si>
    <t>Výsledná hodnota VK na 1 akcii (Kč)</t>
  </si>
  <si>
    <t>(+) Zůst.cena prodaného dlouhodobého majetku</t>
  </si>
  <si>
    <t>(+) Mimořádné osobní náklady - restrukturalizace</t>
  </si>
  <si>
    <t>v rámci kapitoly</t>
  </si>
  <si>
    <t>kap. 6.7.2</t>
  </si>
  <si>
    <t>Souhrnné ocenění</t>
  </si>
  <si>
    <t>Přehled výsledků jednotlivých metod a orientační propočet násobitelů pro UNIPO z ocenění metodou DCF jako doplňková informace pro souhrnné ocenění UNIPO</t>
  </si>
  <si>
    <t>na straně</t>
  </si>
  <si>
    <t>V knize zařazeno:</t>
  </si>
  <si>
    <t>nVK - CAPM</t>
  </si>
  <si>
    <t>nVK - Stavebnice</t>
  </si>
  <si>
    <t>VÝNOSOVÉ OCENĚNÍ</t>
  </si>
  <si>
    <t>Metoda DCF</t>
  </si>
  <si>
    <t>Metoda EVA</t>
  </si>
  <si>
    <t>MAJETKOVÉ OCENĚNÍ</t>
  </si>
  <si>
    <t>Účetní hodnota</t>
  </si>
  <si>
    <t>Substanční hodnota (odhad)</t>
  </si>
  <si>
    <t>Likvidační hodnota (odhad)</t>
  </si>
  <si>
    <t>Goodwill</t>
  </si>
  <si>
    <t>Na úrovni DCF a EVA</t>
  </si>
  <si>
    <t>Metoda KČV paušální</t>
  </si>
  <si>
    <t xml:space="preserve">Po klepnutí na buňky s vypočítanou hodnotou v jednotlivých tabulkách je možné prohlédnout si </t>
  </si>
  <si>
    <t>Klepnutím na název listu v obsahu se seznamem listů lze rychle přejít na požadovanou část příkladu.</t>
  </si>
  <si>
    <t>Skok na obsah</t>
  </si>
  <si>
    <t>V pravém horním rohu každého listu je pak hypertextový odkaz "Skok na obsah", na který je možné</t>
  </si>
  <si>
    <t>klepnout a rychle se tak vrátit na tento výchozí list s obsahem.</t>
  </si>
  <si>
    <t>Kritérium</t>
  </si>
  <si>
    <t>Body</t>
  </si>
  <si>
    <t>Negativní</t>
  </si>
  <si>
    <t>Pozitivní</t>
  </si>
  <si>
    <t>×</t>
  </si>
  <si>
    <t>Přímé faktory</t>
  </si>
  <si>
    <t>Cenová úroveň</t>
  </si>
  <si>
    <t>Šíře sortimentu</t>
  </si>
  <si>
    <t>Hloubka sortimentu</t>
  </si>
  <si>
    <t>Kvalita zboží</t>
  </si>
  <si>
    <t>Možnost týdenních nákupů</t>
  </si>
  <si>
    <t>Rychlost obsluhy u pokladen</t>
  </si>
  <si>
    <t>Úroveň prodejen z pohledu zákazníka</t>
  </si>
  <si>
    <t>Kvalita obsluhy</t>
  </si>
  <si>
    <t>Účinnost reklamy</t>
  </si>
  <si>
    <t>Image firmy</t>
  </si>
  <si>
    <t>Nepřímé faktory</t>
  </si>
  <si>
    <t>Kvalita managementu</t>
  </si>
  <si>
    <t>Výkonný personál</t>
  </si>
  <si>
    <t>Systém řízení oběhu zboží</t>
  </si>
  <si>
    <t>Majetek a investice</t>
  </si>
  <si>
    <t>Finanční situace</t>
  </si>
  <si>
    <t>Maximální počet bodů:</t>
  </si>
  <si>
    <t>Dosažený počet bodů:</t>
  </si>
  <si>
    <t>Hodnocení:</t>
  </si>
  <si>
    <t>ANALÝZA SOUHRNNÉ KONKURENČNÍ SÍLY PODNIKU UNIPO</t>
  </si>
  <si>
    <t>Bodové hodnocení kritéria konkurenční síly</t>
  </si>
  <si>
    <t>HDP b.c. (mil. Kč)</t>
  </si>
  <si>
    <t>Průměrné roční tempo růstu:</t>
  </si>
  <si>
    <t>Počet obyvatel ČR</t>
  </si>
  <si>
    <t>Trh ČR celkem (mil. Kč)</t>
  </si>
  <si>
    <t>Prům. spotřeba na osobu b.c. (Kč)</t>
  </si>
  <si>
    <t>X</t>
  </si>
  <si>
    <t>Y</t>
  </si>
  <si>
    <t>= korelační koeficient</t>
  </si>
  <si>
    <t>= index determinace</t>
  </si>
  <si>
    <t>Čas (lineární funkce)</t>
  </si>
  <si>
    <t>Relevan-tní trh (mil. Kč)</t>
  </si>
  <si>
    <t>Relevantní trh regionální</t>
  </si>
  <si>
    <t>Korelační koef.</t>
  </si>
  <si>
    <r>
      <t>R</t>
    </r>
    <r>
      <rPr>
        <vertAlign val="superscript"/>
        <sz val="10"/>
        <rFont val="Arial CE"/>
        <family val="2"/>
        <charset val="238"/>
      </rPr>
      <t>2</t>
    </r>
    <r>
      <rPr>
        <sz val="10"/>
        <rFont val="Arial CE"/>
        <family val="2"/>
        <charset val="238"/>
      </rPr>
      <t xml:space="preserve"> = index determinace = korelační koeficient </t>
    </r>
    <r>
      <rPr>
        <vertAlign val="superscript"/>
        <sz val="10"/>
        <rFont val="Arial CE"/>
        <family val="2"/>
        <charset val="238"/>
      </rPr>
      <t>2</t>
    </r>
  </si>
  <si>
    <t>Podíl obyvatel regionu na ČR</t>
  </si>
  <si>
    <t>Závislost na čase lineární:</t>
  </si>
  <si>
    <t>Průměrná náročnost růstu tržeb na investice netto do pracovního kapitálu:</t>
  </si>
  <si>
    <t>a) Prognóza ziskové marže shora</t>
  </si>
  <si>
    <t>Náklady vynaložené na prodané zboží (tis. Kč)</t>
  </si>
  <si>
    <t>Současný kurz</t>
  </si>
  <si>
    <t>A1</t>
  </si>
  <si>
    <t>Riziko selhání země (prémie USA dluhopisů A1 oproti AAA)</t>
  </si>
  <si>
    <t xml:space="preserve">             - pořizovací hodnota k 31. 12.</t>
  </si>
  <si>
    <t>Korigovaný provozní zisk po odpisech a po dani</t>
  </si>
  <si>
    <t>a) Doba obratu ve dnech (vztaženo k tržbám)</t>
  </si>
  <si>
    <t>Investovaný kapitál provozně nutný</t>
  </si>
  <si>
    <t>ROZDĚLENÍ MAJETKU NA NUTNÝ A NENUTNÝ</t>
  </si>
  <si>
    <t>Dlouhodobý majetek provozně nutný</t>
  </si>
  <si>
    <t>Ostatní aktiva (časové rozlišení aktivní)</t>
  </si>
  <si>
    <t>Ostatní pasiva (časové rozlišení pasivní)</t>
  </si>
  <si>
    <t>Pracovní kapitál provozně nutný</t>
  </si>
  <si>
    <t>Vyloučení VH z prodeje majetku</t>
  </si>
  <si>
    <t>v řádku vzorců způsob výpočtu dané hodnoty. Některé položky obsahují popis také ve formě</t>
  </si>
  <si>
    <t>poznámky, což signalizuje červená značka v pravém horním rohu buňky. Poznámka se objeví po</t>
  </si>
  <si>
    <t>umístění myši na buňku s takovouto značkou.</t>
  </si>
  <si>
    <t>Investovaný kapitál provozně nutný k 31. 12.</t>
  </si>
  <si>
    <t>x</t>
  </si>
  <si>
    <t>Průměr minulost</t>
  </si>
  <si>
    <t>Průměr plán</t>
  </si>
  <si>
    <t>Tržní hodnota / účetní hodnota vlastního kapitálu</t>
  </si>
  <si>
    <t>Běžná dostupnost</t>
  </si>
  <si>
    <t>Peníze (pokladna + účet) v rozvaze</t>
  </si>
  <si>
    <t>Likvidita (peníze / krátkodobé závazky) skutečná</t>
  </si>
  <si>
    <t>Podíly z tržeb</t>
  </si>
  <si>
    <t>2) Zisková marže</t>
  </si>
  <si>
    <t>b) Prognóza ziskové marže zdola</t>
  </si>
  <si>
    <t>3) Pracovní kapitál</t>
  </si>
  <si>
    <t>4) Dlouhodobý majetek a investice</t>
  </si>
  <si>
    <t>5) Analýza rentability provozně nutného investovaného kapitálu</t>
  </si>
  <si>
    <t>a) Korigovaný provozní zisk a zisková marže po odpisech a po upravené dani</t>
  </si>
  <si>
    <t>b) Provozně nutný investovaný kapitál a rentabilita investovaného kapitálu</t>
  </si>
  <si>
    <t>Zisková marže z KPVH po odpisech a po dani</t>
  </si>
  <si>
    <t xml:space="preserve">Tempo růstu KPVH po odpisech a dani </t>
  </si>
  <si>
    <t>Diference v platbě daně oproti dani z KPVH            *)</t>
  </si>
  <si>
    <t>Průměr celkem</t>
  </si>
  <si>
    <r>
      <t>P</t>
    </r>
    <r>
      <rPr>
        <vertAlign val="subscript"/>
        <sz val="10"/>
        <rFont val="Arial CE"/>
        <family val="2"/>
        <charset val="238"/>
      </rPr>
      <t>2</t>
    </r>
    <r>
      <rPr>
        <sz val="10"/>
        <rFont val="Arial CE"/>
        <family val="2"/>
        <charset val="238"/>
      </rPr>
      <t xml:space="preserve"> ("zástava"):</t>
    </r>
  </si>
  <si>
    <t xml:space="preserve">             - odpisy (1/30 z pořizovací hodnoty k 1.1.)</t>
  </si>
  <si>
    <t xml:space="preserve">             - odpisy (1/4 z pořizovací hodnoty k 1.1.)</t>
  </si>
  <si>
    <t>Celkové investice netto do dlouhodobého majetku</t>
  </si>
  <si>
    <t>Celkové investice brutto do dlouhodobého majetku</t>
  </si>
  <si>
    <t>Odchylka od střední hodnoty</t>
  </si>
  <si>
    <r>
      <t xml:space="preserve">Rentabilita účetní </t>
    </r>
    <r>
      <rPr>
        <sz val="10"/>
        <rFont val="Arial CE"/>
        <family val="2"/>
        <charset val="238"/>
      </rPr>
      <t>(rentability kapitálu jsou počítány ze stavu kapitálu ke konci roku)</t>
    </r>
  </si>
  <si>
    <t>Rentabilita prov.nutného investovaného kapitálu z KPVH</t>
  </si>
  <si>
    <t>Rentabilita tržeb z KPVH po dani (zisková marže)</t>
  </si>
  <si>
    <t>Původní  - odpisy</t>
  </si>
  <si>
    <t>Zisková marže po dani</t>
  </si>
  <si>
    <t>Předpokládaná daň z příjmů</t>
  </si>
  <si>
    <t>Roční kupónový výnos po dani *)</t>
  </si>
  <si>
    <r>
      <t>Daň připadající na korigovaný VH (d x KPVH</t>
    </r>
    <r>
      <rPr>
        <vertAlign val="subscript"/>
        <sz val="10"/>
        <rFont val="Arial CE"/>
        <family val="2"/>
        <charset val="238"/>
      </rPr>
      <t>d</t>
    </r>
    <r>
      <rPr>
        <sz val="10"/>
        <rFont val="Arial CE"/>
        <family val="2"/>
        <charset val="238"/>
      </rPr>
      <t>)</t>
    </r>
  </si>
  <si>
    <t>Korigovaný provozní VH po dani (KPVH)</t>
  </si>
  <si>
    <t>Růstové příležitosti</t>
  </si>
  <si>
    <t>NOA k 31. 12.</t>
  </si>
  <si>
    <t>Regrese - Čas lineární</t>
  </si>
  <si>
    <t>Regrese - HDP logarit.</t>
  </si>
  <si>
    <t>Regrese - HDP lineární</t>
  </si>
  <si>
    <t>Vnitřní potenciál</t>
  </si>
  <si>
    <t>Analýza souhrnné konkurenční síly podniku UNIPO</t>
  </si>
  <si>
    <t>kap. 3.2.3.3</t>
  </si>
  <si>
    <t>kap. 3.3</t>
  </si>
  <si>
    <t>Rozdělení majetku</t>
  </si>
  <si>
    <t>kap. 3.4</t>
  </si>
  <si>
    <t>Rozdělení majektu, provozně nutný investovaný kapitálu a korigovaný provozního VH za minulost</t>
  </si>
  <si>
    <t>Rozdělení majetku na provozně nutný a nenutný</t>
  </si>
  <si>
    <t>Tržby, zisková marže, pracovní kapitál, dlouhodobý majetek, prognózovaný K a KPVH</t>
  </si>
  <si>
    <t>za kap. 3.5.6</t>
  </si>
  <si>
    <t>Předběžné ocenění na základě generátorů hodnoty</t>
  </si>
  <si>
    <t>kap. 3.5.7</t>
  </si>
  <si>
    <t>147</t>
  </si>
  <si>
    <t>kap. 4.1.2, 4.1.3 a 4.1.4</t>
  </si>
  <si>
    <t>kap. 4.4</t>
  </si>
  <si>
    <t>Provozní výsledek hospodaření z výsledovky</t>
  </si>
  <si>
    <t>Obrat investovaného kapitálu provozně nutného</t>
  </si>
  <si>
    <t>Průměrná náročnost růstu tržeb na investice netto do dlouhodobého majetku:</t>
  </si>
  <si>
    <r>
      <t xml:space="preserve">   a = (n</t>
    </r>
    <r>
      <rPr>
        <vertAlign val="subscript"/>
        <sz val="10"/>
        <rFont val="Arial CE"/>
        <family val="2"/>
        <charset val="238"/>
      </rPr>
      <t>vk max</t>
    </r>
    <r>
      <rPr>
        <sz val="10"/>
        <rFont val="Arial CE"/>
        <family val="2"/>
        <charset val="238"/>
      </rPr>
      <t xml:space="preserve"> / r</t>
    </r>
    <r>
      <rPr>
        <vertAlign val="subscript"/>
        <sz val="10"/>
        <rFont val="Arial CE"/>
        <family val="2"/>
        <charset val="238"/>
      </rPr>
      <t>f</t>
    </r>
    <r>
      <rPr>
        <sz val="10"/>
        <rFont val="Arial CE"/>
        <family val="2"/>
        <charset val="238"/>
      </rPr>
      <t>)^(1/4)</t>
    </r>
  </si>
  <si>
    <r>
      <t>P</t>
    </r>
    <r>
      <rPr>
        <vertAlign val="subscript"/>
        <sz val="10"/>
        <rFont val="Arial CE"/>
        <family val="2"/>
        <charset val="238"/>
      </rPr>
      <t>1</t>
    </r>
    <r>
      <rPr>
        <sz val="10"/>
        <rFont val="Arial CE"/>
        <family val="2"/>
        <charset val="238"/>
      </rPr>
      <t xml:space="preserve"> ("spl.kalendář"):</t>
    </r>
  </si>
  <si>
    <r>
      <t>k</t>
    </r>
    <r>
      <rPr>
        <vertAlign val="subscript"/>
        <sz val="10"/>
        <rFont val="Arial"/>
        <family val="2"/>
      </rPr>
      <t>DMn</t>
    </r>
  </si>
  <si>
    <t>k 1. 1. 2017</t>
  </si>
  <si>
    <t>B.II.1.1</t>
  </si>
  <si>
    <t>B.II.1.2</t>
  </si>
  <si>
    <t xml:space="preserve">Hmotné movité věci </t>
  </si>
  <si>
    <t>C.I.3.2</t>
  </si>
  <si>
    <t>C.II.1</t>
  </si>
  <si>
    <t>C.II.2</t>
  </si>
  <si>
    <t>C.III</t>
  </si>
  <si>
    <t>Peněžní prostředky</t>
  </si>
  <si>
    <t>Časové rozlišení aktiv</t>
  </si>
  <si>
    <t>Ážio a kapitálové fondy</t>
  </si>
  <si>
    <t>B.+C.</t>
  </si>
  <si>
    <t>Závazky</t>
  </si>
  <si>
    <t>C.I.1</t>
  </si>
  <si>
    <t>C.I.2</t>
  </si>
  <si>
    <r>
      <t xml:space="preserve">Závazky k úvěrovým institucím </t>
    </r>
    <r>
      <rPr>
        <i/>
        <sz val="10"/>
        <rFont val="Arial CE"/>
        <family val="2"/>
        <charset val="238"/>
      </rPr>
      <t>(bankovní úvěry)</t>
    </r>
  </si>
  <si>
    <t>C.II.4</t>
  </si>
  <si>
    <t>C.II.8</t>
  </si>
  <si>
    <t>Závazky ostatní</t>
  </si>
  <si>
    <t>C.II.8.3</t>
  </si>
  <si>
    <t>C.II.8.4</t>
  </si>
  <si>
    <t>C.II.8.5</t>
  </si>
  <si>
    <t>Časové rozlišení pasiv</t>
  </si>
  <si>
    <r>
      <t xml:space="preserve">Dlouhodobé závazky </t>
    </r>
    <r>
      <rPr>
        <i/>
        <sz val="10"/>
        <rFont val="Arial CE"/>
        <family val="2"/>
        <charset val="238"/>
      </rPr>
      <t>(dluhopisy a úvěry)</t>
    </r>
  </si>
  <si>
    <r>
      <t xml:space="preserve">Závazky k úvěrovým institucím </t>
    </r>
    <r>
      <rPr>
        <i/>
        <sz val="10"/>
        <rFont val="Arial CE"/>
        <family val="2"/>
        <charset val="238"/>
      </rPr>
      <t>(úvěry)</t>
    </r>
  </si>
  <si>
    <t>C.II.2.1</t>
  </si>
  <si>
    <t>II.</t>
  </si>
  <si>
    <t>Spotřeba materiálu a energie</t>
  </si>
  <si>
    <t>D.1.</t>
  </si>
  <si>
    <t>D.2.1</t>
  </si>
  <si>
    <t>Náklady na sociál. zabezpeční a zdrav. pojištění</t>
  </si>
  <si>
    <t>Úpravy hodnot v provozní činnosti</t>
  </si>
  <si>
    <t>E.1.1</t>
  </si>
  <si>
    <t>Úpravy hodnot DNM a DHM - trvalé (odpisy)</t>
  </si>
  <si>
    <t>Ostatní provozní výnosy</t>
  </si>
  <si>
    <t>III.1</t>
  </si>
  <si>
    <t>Ostatní provozní náklady</t>
  </si>
  <si>
    <t>F.1</t>
  </si>
  <si>
    <t>Zůstatková cena prodaného dlouhod. majetku</t>
  </si>
  <si>
    <t>F.3</t>
  </si>
  <si>
    <t>F.4</t>
  </si>
  <si>
    <t>VI.</t>
  </si>
  <si>
    <t>J.</t>
  </si>
  <si>
    <t>Výnosové úroky - dluhopisy</t>
  </si>
  <si>
    <t xml:space="preserve">                        - vklady u banky</t>
  </si>
  <si>
    <t xml:space="preserve">Daň z příjmů </t>
  </si>
  <si>
    <t>Výsledek hospodaření po zdanění</t>
  </si>
  <si>
    <t>III.3</t>
  </si>
  <si>
    <t>Jiné provozní výnosy (mimořádné výnosy)</t>
  </si>
  <si>
    <t>F.5</t>
  </si>
  <si>
    <t>Jiné provozní náklady (mimořádné náklady)</t>
  </si>
  <si>
    <t>VH z prodeje dlouhodobého majetku</t>
  </si>
  <si>
    <t>III.1-F.1</t>
  </si>
  <si>
    <t>Mimořádný VH</t>
  </si>
  <si>
    <t>III.3-F.5</t>
  </si>
  <si>
    <t>L.</t>
  </si>
  <si>
    <t>PENĚŽNÍ TOK Z HLAVNÍ VÝDĚLEČNÉ ČINNOSTI</t>
  </si>
  <si>
    <t>Odpisy dlouhodobého majetku</t>
  </si>
  <si>
    <t>Změna stavu opravných položek a rezerv</t>
  </si>
  <si>
    <t>Zisk (ztráta) z prodeje dlouhodobého majetku</t>
  </si>
  <si>
    <t>Účetní výsledek hospodaření po zdanění</t>
  </si>
  <si>
    <t>PENĚŽNÍ TOK Z INVESTIČNÍ ČINNOSTI</t>
  </si>
  <si>
    <t>PENĚŽNÍ TOK Z FINANČNÍ ČINNOSTI</t>
  </si>
  <si>
    <t>Příjmy z prodeje DHM a DNM</t>
  </si>
  <si>
    <t>Dopady změn dlouhodobých závazků a bank. úvěrů</t>
  </si>
  <si>
    <t>Změna stavu dlouhodobých úvěrů</t>
  </si>
  <si>
    <t>Dopady změn vlastního kapitálu</t>
  </si>
  <si>
    <t>Zvýšení základního kapitálu, ážia, event. rezervního fondu</t>
  </si>
  <si>
    <t>Krátkodobé závazky neúročené</t>
  </si>
  <si>
    <t>Peněžní prostředky v rozvaze</t>
  </si>
  <si>
    <t>Likvidita (peníze / krátkodobé závazky neúroč.)</t>
  </si>
  <si>
    <t>Vyloučení mimořádných nákladů</t>
  </si>
  <si>
    <t>Vyloučení mimořádných výnosů</t>
  </si>
  <si>
    <t>Korigovaný provozní výsledek hospodaření (před daní)</t>
  </si>
  <si>
    <t>Korigovaný provozní zisk před odpisy a daní (tis. Kč)</t>
  </si>
  <si>
    <t>Zisková marže (z KPVH před odpisy a daní)</t>
  </si>
  <si>
    <t>Spotřeba materiálu a energie (tis. Kč)</t>
  </si>
  <si>
    <t>Zisk. marže z KPVH před odpisy a daní dopočítaná</t>
  </si>
  <si>
    <t>KPVH před odpisy a daní (tržby - náklady)</t>
  </si>
  <si>
    <t>Krátkodobé závazky neúročené celkem</t>
  </si>
  <si>
    <r>
      <t xml:space="preserve">c) Vedlejší činnost </t>
    </r>
    <r>
      <rPr>
        <sz val="12"/>
        <color indexed="12"/>
        <rFont val="Arial CE"/>
        <family val="2"/>
        <charset val="238"/>
      </rPr>
      <t>- náklady a výnosy spojené s neprovozním majetkem, mimořádné opoložky</t>
    </r>
  </si>
  <si>
    <t>Mimořádný výsledek hospodaření</t>
  </si>
  <si>
    <t>VH z neprovozního majetku a mimořádný VH</t>
  </si>
  <si>
    <t>Korigovaný provozní VH před daní</t>
  </si>
  <si>
    <r>
      <t>Korigovaný provozní VH před daní (KPVH</t>
    </r>
    <r>
      <rPr>
        <b/>
        <vertAlign val="subscript"/>
        <sz val="10"/>
        <rFont val="Arial CE"/>
        <family val="2"/>
        <charset val="238"/>
      </rPr>
      <t>d</t>
    </r>
    <r>
      <rPr>
        <b/>
        <sz val="10"/>
        <rFont val="Arial CE"/>
        <family val="2"/>
        <charset val="238"/>
      </rPr>
      <t>)</t>
    </r>
  </si>
  <si>
    <t>Změna stavu krátkodobých závazků neúročených</t>
  </si>
  <si>
    <t>Výnosové úroky z účtu u banky</t>
  </si>
  <si>
    <t>Zvýšení základního kapitálu, ážia, event. rez. fondu</t>
  </si>
  <si>
    <t>Hmotné movité věci</t>
  </si>
  <si>
    <t xml:space="preserve">     - Ostatní dlouhodobé cenné papíry a podíly</t>
  </si>
  <si>
    <t>Změna krátkodobých bankovních úvěrů</t>
  </si>
  <si>
    <r>
      <t xml:space="preserve">Vydané dluhopisy - </t>
    </r>
    <r>
      <rPr>
        <sz val="10"/>
        <color indexed="62"/>
        <rFont val="Arial CE"/>
        <family val="2"/>
        <charset val="238"/>
      </rPr>
      <t>úročený CK</t>
    </r>
  </si>
  <si>
    <r>
      <t xml:space="preserve">Bankovní úvěry dlouhodobé - </t>
    </r>
    <r>
      <rPr>
        <sz val="10"/>
        <color indexed="62"/>
        <rFont val="Arial CE"/>
        <family val="2"/>
        <charset val="238"/>
      </rPr>
      <t>úročený CK</t>
    </r>
  </si>
  <si>
    <r>
      <t xml:space="preserve">Bankovní úvěry krátkodobé - </t>
    </r>
    <r>
      <rPr>
        <sz val="10"/>
        <color indexed="62"/>
        <rFont val="Arial CE"/>
        <family val="2"/>
        <charset val="238"/>
      </rPr>
      <t>úročený CK</t>
    </r>
  </si>
  <si>
    <t>a) Váhy položek kapitálu (z tržních hodnot)</t>
  </si>
  <si>
    <t>KPVH po dani</t>
  </si>
  <si>
    <r>
      <t xml:space="preserve">Rentabilita hlavního provozu </t>
    </r>
    <r>
      <rPr>
        <sz val="10"/>
        <rFont val="Arial CE"/>
        <family val="2"/>
        <charset val="238"/>
      </rPr>
      <t>(rentabilita kapitálu je počítána ze stavu kapitálu k začátku roku)</t>
    </r>
  </si>
  <si>
    <t>Provozně nutný investovaný kapitál k 31.12.:</t>
  </si>
  <si>
    <t>Tempo růstu KPVH po dani</t>
  </si>
  <si>
    <t>Investice 2017-2020 celkem</t>
  </si>
  <si>
    <t>Diskontované FCFF k 1. 1. 2017</t>
  </si>
  <si>
    <t>Výnosové ocenění k 1. 1. 2017</t>
  </si>
  <si>
    <t>Jmenovitá hodnota zůstatku pohledávky k 1. 1. 2017 (tis. Kč):</t>
  </si>
  <si>
    <t>Účetní hodnota dluhopisů k 1. 1. 2017:</t>
  </si>
  <si>
    <t>VÝSLEDNÁ TRŽNÍ HODNOTA K 1. 1. 2017 (zaokrouhleno)</t>
  </si>
  <si>
    <t>Spotřeba domác. (mld. Kč)</t>
  </si>
  <si>
    <t>Skutečnost - trh ČR celkem</t>
  </si>
  <si>
    <t>Trh ČR celkem (mld. Kč)</t>
  </si>
  <si>
    <t>Závislost na SD exponenciální:</t>
  </si>
  <si>
    <t>Závislost na SD lineární:</t>
  </si>
  <si>
    <t>Trh = 209,86 + 9,63 · Index roku</t>
  </si>
  <si>
    <t xml:space="preserve">Trh = 97,3 + 0,14 · Spotřeba domácností v mld. Kč </t>
  </si>
  <si>
    <t xml:space="preserve">Upravený ID = upravený index determinace vhodný pro srovnávání modelů s různým počtem regresorů </t>
  </si>
  <si>
    <t>Teoretické hodnoty - Trh za ČR celkem (mld. Kč)</t>
  </si>
  <si>
    <t>Spotř. domác. (expon. funkce)</t>
  </si>
  <si>
    <t>Spotř. domác. (lineární funkce)</t>
  </si>
  <si>
    <t>Index roku</t>
  </si>
  <si>
    <t>= upravený index determinace</t>
  </si>
  <si>
    <t>2) Regresní analýza - závislost trhu na Spotřebě domácností exponenciální</t>
  </si>
  <si>
    <t>Ln(Trh)</t>
  </si>
  <si>
    <t>Spotř. domác. (mld. Kč)</t>
  </si>
  <si>
    <t>2) Regresní analýza - závislost trhu na Spotřebě domácností lineární</t>
  </si>
  <si>
    <t>Upravený ID</t>
  </si>
  <si>
    <t>Trh ČR výsledný</t>
  </si>
  <si>
    <t>1995 až 2015</t>
  </si>
  <si>
    <t>2005 - 2016</t>
  </si>
  <si>
    <t>2017 - 2021</t>
  </si>
  <si>
    <t>Cenový index bazický vztažený k roku 2016</t>
  </si>
  <si>
    <t>Odhad investic brutto pro plán tržeb v letech 2017-2021</t>
  </si>
  <si>
    <t>Zisková marže před odpisy a daní</t>
  </si>
  <si>
    <t>Zisková marže po odpisech před daní</t>
  </si>
  <si>
    <t>2015 až 2021</t>
  </si>
  <si>
    <t>Data z veřejných zdrojů - vstupní faktory</t>
  </si>
  <si>
    <r>
      <t>Trh = e</t>
    </r>
    <r>
      <rPr>
        <vertAlign val="superscript"/>
        <sz val="10"/>
        <rFont val="Arial CE"/>
        <family val="2"/>
        <charset val="238"/>
      </rPr>
      <t>(5,02 + 0,0005 · Spotřeba domácností v mld. Kč)</t>
    </r>
  </si>
  <si>
    <t>Součet tržeb za roky 2013 až 2016:</t>
  </si>
  <si>
    <t>Investiční náročnost tržeb 2013-2016</t>
  </si>
  <si>
    <t>Součet tržeb za roky 2017 až 2021:</t>
  </si>
  <si>
    <r>
      <t>Pro prognózu dlouhodobého majetku byly využity koeficienty náročnosti tržeb na investice brutto (k</t>
    </r>
    <r>
      <rPr>
        <vertAlign val="subscript"/>
        <sz val="10"/>
        <rFont val="Arial CE"/>
        <family val="2"/>
        <charset val="238"/>
      </rPr>
      <t>DMb</t>
    </r>
    <r>
      <rPr>
        <sz val="10"/>
        <rFont val="Arial CE"/>
        <family val="2"/>
        <charset val="238"/>
      </rPr>
      <t>).</t>
    </r>
  </si>
  <si>
    <t xml:space="preserve">             - investice netto</t>
  </si>
  <si>
    <t>Nový      - investice brutto</t>
  </si>
  <si>
    <t xml:space="preserve">             - zůstatková hodnota k 31. 12.</t>
  </si>
  <si>
    <t>Pozemky - zůstatková hodnota k 31. 12.</t>
  </si>
  <si>
    <t xml:space="preserve">             - odpisy (1/6 z pořizovací hodnoty k 1.1.)</t>
  </si>
  <si>
    <t>Zůstatková hodnota k 31. 12.</t>
  </si>
  <si>
    <t>Riziková prémie kap. trhu USA (geom. průměr 1928-2016)</t>
  </si>
  <si>
    <t>Riziková prémie země opravená o rozdíl v inflaci (-0,4%)</t>
  </si>
  <si>
    <t>Riziková přirážka za menší obchodovatelnost vlastnických podílů - odhad</t>
  </si>
  <si>
    <t>EV/EBITDA</t>
  </si>
  <si>
    <t>EBITDA</t>
  </si>
  <si>
    <t>EV/K</t>
  </si>
  <si>
    <t>Přírůstek tržeb za roky 2017 až 2021</t>
  </si>
  <si>
    <t>Investice netto za roky 2017 až 2021</t>
  </si>
  <si>
    <t>Hodnota podniku brutto (mil. Kč)</t>
  </si>
  <si>
    <t>Varianta (scénář)</t>
  </si>
  <si>
    <t>Analýza citlivosti při středním scénáři:</t>
  </si>
  <si>
    <t>Trvale odnímatelný čistý výnos po dani před korekcí</t>
  </si>
  <si>
    <t>Kalkulovaná úroková míra (WACC)</t>
  </si>
  <si>
    <t>Trvale odnímatelný čistý výnos po korekci o míru investic</t>
  </si>
  <si>
    <t>Beta nezadlužené pro maloobchod s potravinami (Evropa)</t>
  </si>
  <si>
    <t>Podklady pro odhad pokračující hodnoty</t>
  </si>
  <si>
    <t>Tempo růstu tržeb, KPVH a invest. kap.</t>
  </si>
  <si>
    <t>FCFF 2026</t>
  </si>
  <si>
    <t>První fáze</t>
  </si>
  <si>
    <t>Druhá fáze (stabilitační)</t>
  </si>
  <si>
    <t>Volné cash flow pro 2. fázi (stabilitační fáze)</t>
  </si>
  <si>
    <t>Současná hodnota 2. fáze (stabilizační fáze)</t>
  </si>
  <si>
    <t>Současná hodnota pokračující hodnoty</t>
  </si>
  <si>
    <t>TRŽNÍ POROVNÁNÍ - metoda srovnatelných podniků</t>
  </si>
  <si>
    <t>Násobitele srovnatelných podniků</t>
  </si>
  <si>
    <t>KVH</t>
  </si>
  <si>
    <t>Vztahová veličina UNIPO 2016 očištěná o neprovozní majetek</t>
  </si>
  <si>
    <t>EBIT</t>
  </si>
  <si>
    <t xml:space="preserve">Ocenění na základě násobitelů odvozených z podobných podniků </t>
  </si>
  <si>
    <t>Násobitele jsou očištěny o neprovozní majetek.</t>
  </si>
  <si>
    <t>Násobitele typu entity</t>
  </si>
  <si>
    <t>Násobitele typu equity</t>
  </si>
  <si>
    <t>Úročený CK UNIPO</t>
  </si>
  <si>
    <t>Neprovozní majetek UNIPO</t>
  </si>
  <si>
    <t>Výsledná hodnota netto</t>
  </si>
  <si>
    <t>TRŽNÍ POROVNÁNÍ</t>
  </si>
  <si>
    <t>EV = enterprise value (tržní hodnota investovaného kapitálu)</t>
  </si>
  <si>
    <t>P   = price (tržní cena akcie, tj. vlastního kapitálu)</t>
  </si>
  <si>
    <t>K</t>
  </si>
  <si>
    <t>K   = provozně nutný investovaný kapitál (účetní hodnota)</t>
  </si>
  <si>
    <t>Násobitel</t>
  </si>
  <si>
    <t>Všechny údaje jsou k 31. 12. 2016</t>
  </si>
  <si>
    <r>
      <t>r</t>
    </r>
    <r>
      <rPr>
        <vertAlign val="subscript"/>
        <sz val="10"/>
        <rFont val="Arial CE"/>
        <family val="2"/>
        <charset val="238"/>
      </rPr>
      <t xml:space="preserve">f </t>
    </r>
    <r>
      <rPr>
        <sz val="10"/>
        <rFont val="Arial CE"/>
        <family val="2"/>
        <charset val="238"/>
      </rPr>
      <t>(aktuální výnosnost 20letých vládních dluhopisů USA)</t>
    </r>
  </si>
  <si>
    <t>Tržby 2016</t>
  </si>
  <si>
    <t>Provozně nutný investovaný kapitál k 31. 12.</t>
  </si>
  <si>
    <t>Investice netto 2026</t>
  </si>
  <si>
    <t>*) Daňová sazba</t>
  </si>
  <si>
    <t>Upravený výsledek hospodaření UVH před odpisy a daní</t>
  </si>
  <si>
    <t>Metoda tržního porovnání</t>
  </si>
  <si>
    <t>Tržní porovnání</t>
  </si>
  <si>
    <t>kap. 5.2.1.3</t>
  </si>
  <si>
    <t>Metoda srovnatelných podniků</t>
  </si>
  <si>
    <t>kap. 4.1.6.6</t>
  </si>
  <si>
    <t>Plánovaný výkaz peněžních toků - rozdíly při promítnutí změny nutných peněz</t>
  </si>
  <si>
    <t>Stav provozně nenutných peněz na počtáku období</t>
  </si>
  <si>
    <t>Změna stavu provozně nutných peněz</t>
  </si>
  <si>
    <t>Stav provozně nenutných peněz na konci období</t>
  </si>
  <si>
    <t>Jen nenutné peníze</t>
  </si>
  <si>
    <t>Zařadit změnu nutných peněz</t>
  </si>
  <si>
    <t>CF z provozu se přesně rovná FCFF pro ocenění</t>
  </si>
  <si>
    <t>Stanoveno již v generátorech hodnoty</t>
  </si>
  <si>
    <t>Převzato z plánovanému výkazu CF</t>
  </si>
  <si>
    <t>Součet nutných a nenutných peněz</t>
  </si>
  <si>
    <t>Pen.tok z prov. činnosti celkem (bez nutných peněz)</t>
  </si>
  <si>
    <t>PEN. TOK Z PROV. MAJETKU CELKEM (bez nut.pen.)</t>
  </si>
  <si>
    <t>Výsledný koeficient náročnosti tržeb na investice:</t>
  </si>
  <si>
    <r>
      <t xml:space="preserve">RP </t>
    </r>
    <r>
      <rPr>
        <sz val="10"/>
        <rFont val="Arial CE"/>
        <family val="2"/>
        <charset val="238"/>
      </rPr>
      <t xml:space="preserve">pro 1 faktor    </t>
    </r>
    <r>
      <rPr>
        <b/>
        <sz val="10"/>
        <rFont val="Arial CE"/>
        <family val="2"/>
        <charset val="238"/>
      </rPr>
      <t xml:space="preserve">             (=z . r</t>
    </r>
    <r>
      <rPr>
        <b/>
        <vertAlign val="subscript"/>
        <sz val="10"/>
        <rFont val="Arial CE"/>
        <family val="2"/>
        <charset val="238"/>
      </rPr>
      <t>f</t>
    </r>
    <r>
      <rPr>
        <b/>
        <sz val="10"/>
        <rFont val="Arial CE"/>
        <family val="2"/>
        <charset val="238"/>
      </rPr>
      <t>/n)</t>
    </r>
  </si>
  <si>
    <r>
      <t>RP                       (=z . r</t>
    </r>
    <r>
      <rPr>
        <b/>
        <vertAlign val="subscript"/>
        <sz val="10"/>
        <rFont val="Arial CE"/>
        <family val="2"/>
        <charset val="238"/>
      </rPr>
      <t>f</t>
    </r>
    <r>
      <rPr>
        <b/>
        <sz val="10"/>
        <rFont val="Arial CE"/>
        <family val="2"/>
        <charset val="238"/>
      </rPr>
      <t>/n)</t>
    </r>
  </si>
  <si>
    <r>
      <t>a</t>
    </r>
    <r>
      <rPr>
        <b/>
        <vertAlign val="superscript"/>
        <sz val="10"/>
        <rFont val="Arial CE"/>
        <family val="2"/>
        <charset val="238"/>
      </rPr>
      <t>x</t>
    </r>
  </si>
  <si>
    <r>
      <t>z                  (= a</t>
    </r>
    <r>
      <rPr>
        <b/>
        <vertAlign val="superscript"/>
        <sz val="10"/>
        <rFont val="Arial CE"/>
        <family val="2"/>
        <charset val="238"/>
      </rPr>
      <t>x</t>
    </r>
    <r>
      <rPr>
        <b/>
        <sz val="10"/>
        <rFont val="Arial CE"/>
        <family val="2"/>
        <charset val="238"/>
      </rPr>
      <t xml:space="preserve"> - 1)</t>
    </r>
  </si>
  <si>
    <t>Dílčí riziková přirážka (RP x vážený počet)</t>
  </si>
  <si>
    <t>Prémie za nižší obchodovatelnost</t>
  </si>
  <si>
    <t>Výsledky regresní analýzy získané pomocí příkazu Excelu: Nástroje - Analýza dat - Regrese</t>
  </si>
  <si>
    <t>88</t>
  </si>
  <si>
    <t>110</t>
  </si>
  <si>
    <t>115</t>
  </si>
  <si>
    <t>Výkazy za roky 2012 až 2016</t>
  </si>
  <si>
    <t>508</t>
  </si>
  <si>
    <t>132</t>
  </si>
  <si>
    <t>165</t>
  </si>
  <si>
    <t>173</t>
  </si>
  <si>
    <t>184</t>
  </si>
  <si>
    <t>261, 273</t>
  </si>
  <si>
    <t>278, 280</t>
  </si>
  <si>
    <t>291</t>
  </si>
  <si>
    <t>198, 204, 237</t>
  </si>
  <si>
    <t>339</t>
  </si>
  <si>
    <t>313</t>
  </si>
  <si>
    <t>355</t>
  </si>
  <si>
    <t>429</t>
  </si>
  <si>
    <t>436</t>
  </si>
  <si>
    <t>474</t>
  </si>
  <si>
    <t>Dlouhodobý hmotný majetek (Stálá aktiva)</t>
  </si>
  <si>
    <t>Dlouhodobý majetek (Stálá aktiva)</t>
  </si>
  <si>
    <r>
      <t xml:space="preserve">Úpravy hodnot v provozní činnosti </t>
    </r>
    <r>
      <rPr>
        <i/>
        <sz val="10"/>
        <rFont val="Arial CE"/>
        <family val="2"/>
        <charset val="238"/>
      </rPr>
      <t xml:space="preserve">(odpisy) </t>
    </r>
  </si>
  <si>
    <t>Daň z příjmů</t>
  </si>
  <si>
    <t>B.III.6.</t>
  </si>
  <si>
    <t xml:space="preserve">Zápůjčky a úvěry – ostatní </t>
  </si>
  <si>
    <t>Tržby z prodaného dlouhodobého majetku</t>
  </si>
  <si>
    <t>Rezervy v provozní oblasti</t>
  </si>
  <si>
    <t xml:space="preserve">     - Zápůjčky a úvěry – ostatní (pohledávka)</t>
  </si>
  <si>
    <t>Mařík, M. a kol.: Metody oceňování podniku - 1. díl, 5. vydání, Ekopress 2024</t>
  </si>
  <si>
    <t>ISBN 978-80-87865-94-1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</si>
</sst>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_);\-0_)"/>
    <numFmt numFmtId="165" formatCode="0_)"/>
    <numFmt numFmtId="166" formatCode="0_);\-0_);"/>
    <numFmt numFmtId="167" formatCode="#,##0_);[Red]\-#,##0_)"/>
    <numFmt numFmtId="168" formatCode="#,##0.0"/>
    <numFmt numFmtId="169" formatCode="0.0%"/>
    <numFmt numFmtId="170" formatCode="0.0000"/>
    <numFmt numFmtId="171" formatCode="0.000"/>
    <numFmt numFmtId="172" formatCode="0.0"/>
    <numFmt numFmtId="173" formatCode="0.000%"/>
    <numFmt numFmtId="174" formatCode="#,##0_)"/>
    <numFmt numFmtId="175" formatCode="#,##0.0_)"/>
    <numFmt numFmtId="176" formatCode="#,##0.00_)"/>
    <numFmt numFmtId="177" formatCode="0.000000%"/>
    <numFmt numFmtId="178" formatCode="#,##0.000"/>
    <numFmt numFmtId="179" formatCode="#,##0_ ;\-#,##0\ "/>
    <numFmt numFmtId="180" formatCode="0_X"/>
    <numFmt numFmtId="181" formatCode="#,##0.0000"/>
    <numFmt numFmtId="182" formatCode="#,##0.0_);[Red]\-#,##0.0_)"/>
    <numFmt numFmtId="183" formatCode="#,##0.00_);[Red]\-#,##0.00_)"/>
  </numFmts>
  <fonts count="87" x14ac:knownFonts="1">
    <font>
      <sz val="10"/>
      <name val="Arial CE"/>
      <charset val="238"/>
    </font>
    <font>
      <sz val="10"/>
      <name val="Arial CE"/>
      <family val="2"/>
      <charset val="238"/>
    </font>
    <font>
      <b/>
      <sz val="11"/>
      <name val="Arial CE"/>
      <family val="2"/>
      <charset val="238"/>
    </font>
    <font>
      <sz val="11"/>
      <name val="Arial CE"/>
      <family val="2"/>
      <charset val="238"/>
    </font>
    <font>
      <sz val="11"/>
      <color indexed="8"/>
      <name val="Arial CE"/>
      <family val="2"/>
      <charset val="238"/>
    </font>
    <font>
      <b/>
      <sz val="10"/>
      <name val="Arial CE"/>
      <family val="2"/>
      <charset val="238"/>
    </font>
    <font>
      <sz val="10"/>
      <name val="Arial CE"/>
      <family val="2"/>
      <charset val="238"/>
    </font>
    <font>
      <sz val="10"/>
      <color indexed="8"/>
      <name val="Arial CE"/>
      <family val="2"/>
      <charset val="238"/>
    </font>
    <font>
      <i/>
      <sz val="10"/>
      <color indexed="10"/>
      <name val="Arial CE"/>
      <family val="2"/>
      <charset val="238"/>
    </font>
    <font>
      <vertAlign val="superscript"/>
      <sz val="10"/>
      <name val="Arial CE"/>
      <family val="2"/>
      <charset val="238"/>
    </font>
    <font>
      <b/>
      <i/>
      <sz val="10"/>
      <color indexed="10"/>
      <name val="Arial CE"/>
      <family val="2"/>
      <charset val="238"/>
    </font>
    <font>
      <i/>
      <sz val="10"/>
      <name val="Arial CE"/>
      <family val="2"/>
      <charset val="238"/>
    </font>
    <font>
      <b/>
      <i/>
      <sz val="10"/>
      <color indexed="16"/>
      <name val="Arial CE"/>
      <family val="2"/>
      <charset val="238"/>
    </font>
    <font>
      <b/>
      <i/>
      <sz val="10"/>
      <name val="Arial CE"/>
      <family val="2"/>
      <charset val="238"/>
    </font>
    <font>
      <b/>
      <sz val="10"/>
      <color indexed="12"/>
      <name val="Arial CE"/>
      <family val="2"/>
      <charset val="238"/>
    </font>
    <font>
      <i/>
      <sz val="8"/>
      <name val="Arial CE"/>
      <family val="2"/>
      <charset val="238"/>
    </font>
    <font>
      <i/>
      <sz val="10"/>
      <name val="Arial CE"/>
      <family val="2"/>
      <charset val="238"/>
    </font>
    <font>
      <u/>
      <sz val="10"/>
      <color indexed="12"/>
      <name val="Arial CE"/>
      <family val="2"/>
      <charset val="238"/>
    </font>
    <font>
      <b/>
      <sz val="10"/>
      <color indexed="8"/>
      <name val="Arial CE"/>
      <family val="2"/>
      <charset val="238"/>
    </font>
    <font>
      <b/>
      <sz val="12"/>
      <name val="Arial CE"/>
      <family val="2"/>
      <charset val="238"/>
    </font>
    <font>
      <sz val="16"/>
      <color indexed="10"/>
      <name val="Arial CE"/>
      <family val="2"/>
      <charset val="238"/>
    </font>
    <font>
      <b/>
      <sz val="10"/>
      <color indexed="10"/>
      <name val="Arial CE"/>
      <family val="2"/>
      <charset val="238"/>
    </font>
    <font>
      <b/>
      <sz val="14"/>
      <name val="Arial CE"/>
      <family val="2"/>
      <charset val="238"/>
    </font>
    <font>
      <sz val="12"/>
      <name val="Times New Roman CE"/>
      <charset val="238"/>
    </font>
    <font>
      <vertAlign val="subscript"/>
      <sz val="10"/>
      <name val="Arial CE"/>
      <family val="2"/>
      <charset val="238"/>
    </font>
    <font>
      <b/>
      <sz val="10"/>
      <color indexed="62"/>
      <name val="Arial CE"/>
      <family val="2"/>
      <charset val="238"/>
    </font>
    <font>
      <sz val="10"/>
      <color indexed="62"/>
      <name val="Arial CE"/>
      <family val="2"/>
      <charset val="238"/>
    </font>
    <font>
      <sz val="14"/>
      <color indexed="12"/>
      <name val="Arial CE"/>
      <family val="2"/>
      <charset val="238"/>
    </font>
    <font>
      <b/>
      <sz val="10"/>
      <color indexed="16"/>
      <name val="Arial CE"/>
      <family val="2"/>
      <charset val="238"/>
    </font>
    <font>
      <b/>
      <sz val="14"/>
      <color indexed="10"/>
      <name val="Arial CE"/>
      <family val="2"/>
      <charset val="238"/>
    </font>
    <font>
      <b/>
      <sz val="12"/>
      <color indexed="16"/>
      <name val="Arial CE"/>
      <family val="2"/>
      <charset val="238"/>
    </font>
    <font>
      <b/>
      <vertAlign val="subscript"/>
      <sz val="10"/>
      <name val="Arial CE"/>
      <family val="2"/>
      <charset val="238"/>
    </font>
    <font>
      <b/>
      <sz val="12"/>
      <color indexed="10"/>
      <name val="Arial CE"/>
      <family val="2"/>
      <charset val="238"/>
    </font>
    <font>
      <b/>
      <i/>
      <sz val="10"/>
      <color indexed="16"/>
      <name val="Arial CE"/>
      <family val="2"/>
      <charset val="238"/>
    </font>
    <font>
      <b/>
      <sz val="8"/>
      <name val="Arial CE"/>
      <family val="2"/>
      <charset val="238"/>
    </font>
    <font>
      <b/>
      <i/>
      <sz val="8"/>
      <name val="Arial CE"/>
      <family val="2"/>
      <charset val="238"/>
    </font>
    <font>
      <b/>
      <sz val="9"/>
      <name val="Arial CE"/>
      <family val="2"/>
      <charset val="238"/>
    </font>
    <font>
      <b/>
      <sz val="12"/>
      <color indexed="12"/>
      <name val="Arial CE"/>
      <family val="2"/>
      <charset val="238"/>
    </font>
    <font>
      <b/>
      <sz val="10"/>
      <color indexed="18"/>
      <name val="Arial CE"/>
      <family val="2"/>
      <charset val="238"/>
    </font>
    <font>
      <sz val="10"/>
      <color indexed="56"/>
      <name val="Arial CE"/>
      <family val="2"/>
      <charset val="238"/>
    </font>
    <font>
      <sz val="10"/>
      <color indexed="17"/>
      <name val="Arial CE"/>
      <family val="2"/>
      <charset val="238"/>
    </font>
    <font>
      <b/>
      <i/>
      <sz val="10"/>
      <color indexed="17"/>
      <name val="Arial CE"/>
      <family val="2"/>
      <charset val="238"/>
    </font>
    <font>
      <b/>
      <sz val="10"/>
      <color indexed="56"/>
      <name val="Arial CE"/>
      <family val="2"/>
      <charset val="238"/>
    </font>
    <font>
      <i/>
      <sz val="10"/>
      <color indexed="17"/>
      <name val="Arial CE"/>
      <family val="2"/>
      <charset val="238"/>
    </font>
    <font>
      <sz val="10"/>
      <color indexed="16"/>
      <name val="Arial CE"/>
      <family val="2"/>
      <charset val="238"/>
    </font>
    <font>
      <b/>
      <sz val="10"/>
      <color indexed="17"/>
      <name val="Arial CE"/>
      <family val="2"/>
      <charset val="238"/>
    </font>
    <font>
      <b/>
      <sz val="10"/>
      <color indexed="61"/>
      <name val="Arial CE"/>
      <family val="2"/>
      <charset val="238"/>
    </font>
    <font>
      <sz val="10"/>
      <name val="Arial"/>
      <family val="2"/>
    </font>
    <font>
      <vertAlign val="subscript"/>
      <sz val="10"/>
      <name val="Arial"/>
      <family val="2"/>
    </font>
    <font>
      <sz val="10"/>
      <name val="Arial CE"/>
      <family val="2"/>
      <charset val="238"/>
    </font>
    <font>
      <b/>
      <sz val="10"/>
      <color indexed="10"/>
      <name val="Arial"/>
      <family val="2"/>
    </font>
    <font>
      <sz val="10"/>
      <color indexed="10"/>
      <name val="Arial CE"/>
      <family val="2"/>
      <charset val="238"/>
    </font>
    <font>
      <sz val="10"/>
      <color indexed="18"/>
      <name val="Arial CE"/>
      <family val="2"/>
      <charset val="238"/>
    </font>
    <font>
      <i/>
      <sz val="9"/>
      <name val="Arial CE"/>
      <family val="2"/>
      <charset val="238"/>
    </font>
    <font>
      <b/>
      <sz val="11"/>
      <color indexed="16"/>
      <name val="Arial CE"/>
      <family val="2"/>
      <charset val="238"/>
    </font>
    <font>
      <sz val="11"/>
      <name val="Times New Roman CE"/>
      <family val="1"/>
      <charset val="238"/>
    </font>
    <font>
      <sz val="12"/>
      <name val="Times New Roman"/>
      <family val="1"/>
    </font>
    <font>
      <sz val="12"/>
      <name val="Arial Black"/>
      <family val="2"/>
    </font>
    <font>
      <b/>
      <sz val="10"/>
      <color indexed="12"/>
      <name val="Arial CE"/>
      <family val="2"/>
      <charset val="238"/>
    </font>
    <font>
      <b/>
      <sz val="10"/>
      <color indexed="16"/>
      <name val="Arial CE"/>
      <family val="2"/>
      <charset val="238"/>
    </font>
    <font>
      <b/>
      <sz val="10"/>
      <name val="Arial CE"/>
      <family val="2"/>
      <charset val="238"/>
    </font>
    <font>
      <sz val="8"/>
      <color indexed="81"/>
      <name val="Tahoma"/>
      <family val="2"/>
      <charset val="238"/>
    </font>
    <font>
      <sz val="12"/>
      <name val="Times New Roman"/>
      <family val="1"/>
      <charset val="238"/>
    </font>
    <font>
      <sz val="10"/>
      <name val="Arial"/>
      <family val="2"/>
      <charset val="238"/>
    </font>
    <font>
      <b/>
      <sz val="8"/>
      <color indexed="81"/>
      <name val="Tahoma"/>
      <family val="2"/>
      <charset val="238"/>
    </font>
    <font>
      <sz val="10"/>
      <name val="Arial CE"/>
      <family val="2"/>
      <charset val="238"/>
    </font>
    <font>
      <sz val="10"/>
      <color indexed="8"/>
      <name val="Arial CE"/>
      <family val="2"/>
      <charset val="238"/>
    </font>
    <font>
      <b/>
      <sz val="10"/>
      <color indexed="8"/>
      <name val="Arial CE"/>
      <family val="2"/>
      <charset val="238"/>
    </font>
    <font>
      <b/>
      <sz val="10"/>
      <name val="Arial CE"/>
      <family val="2"/>
      <charset val="238"/>
    </font>
    <font>
      <sz val="12"/>
      <color indexed="12"/>
      <name val="Arial CE"/>
      <family val="2"/>
      <charset val="238"/>
    </font>
    <font>
      <sz val="9"/>
      <color indexed="81"/>
      <name val="Tahoma"/>
      <family val="2"/>
      <charset val="238"/>
    </font>
    <font>
      <b/>
      <sz val="9"/>
      <color indexed="81"/>
      <name val="Tahoma"/>
      <family val="2"/>
      <charset val="238"/>
    </font>
    <font>
      <sz val="10"/>
      <name val="Arial CE"/>
      <family val="2"/>
      <charset val="238"/>
    </font>
    <font>
      <b/>
      <i/>
      <sz val="10"/>
      <name val="Arial CE"/>
      <family val="2"/>
      <charset val="238"/>
    </font>
    <font>
      <b/>
      <sz val="10"/>
      <name val="Arial CE"/>
      <family val="2"/>
      <charset val="238"/>
    </font>
    <font>
      <i/>
      <sz val="9"/>
      <color indexed="16"/>
      <name val="Arial CE"/>
      <family val="2"/>
      <charset val="238"/>
    </font>
    <font>
      <sz val="9"/>
      <name val="Arial CE"/>
      <family val="2"/>
      <charset val="238"/>
    </font>
    <font>
      <i/>
      <sz val="9"/>
      <name val="Arial CE"/>
      <family val="2"/>
      <charset val="238"/>
    </font>
    <font>
      <sz val="11"/>
      <name val="Arial"/>
      <family val="2"/>
      <charset val="238"/>
    </font>
    <font>
      <b/>
      <sz val="11"/>
      <name val="Arial"/>
      <family val="2"/>
      <charset val="238"/>
    </font>
    <font>
      <sz val="11"/>
      <color indexed="8"/>
      <name val="Arial"/>
      <family val="2"/>
      <charset val="238"/>
    </font>
    <font>
      <b/>
      <sz val="11"/>
      <color indexed="8"/>
      <name val="Arial"/>
      <family val="2"/>
      <charset val="238"/>
    </font>
    <font>
      <i/>
      <sz val="10"/>
      <name val="Arial CE"/>
      <family val="2"/>
      <charset val="238"/>
    </font>
    <font>
      <b/>
      <vertAlign val="superscript"/>
      <sz val="10"/>
      <name val="Arial CE"/>
      <family val="2"/>
      <charset val="238"/>
    </font>
    <font>
      <i/>
      <sz val="10"/>
      <color theme="4" tint="-0.249977111117893"/>
      <name val="Arial CE"/>
      <family val="2"/>
      <charset val="238"/>
    </font>
    <font>
      <sz val="10"/>
      <color rgb="FF800000"/>
      <name val="Arial CE"/>
      <family val="2"/>
      <charset val="238"/>
    </font>
    <font>
      <sz val="10"/>
      <color rgb="FFFF0000"/>
      <name val="Arial CE"/>
      <family val="2"/>
      <charset val="238"/>
    </font>
  </fonts>
  <fills count="13">
    <fill>
      <patternFill patternType="none"/>
    </fill>
    <fill>
      <patternFill patternType="gray125"/>
    </fill>
    <fill>
      <patternFill patternType="solid">
        <fgColor indexed="49"/>
        <bgColor indexed="64"/>
      </patternFill>
    </fill>
    <fill>
      <patternFill patternType="solid">
        <fgColor indexed="26"/>
        <bgColor indexed="13"/>
      </patternFill>
    </fill>
    <fill>
      <patternFill patternType="solid">
        <fgColor indexed="49"/>
        <bgColor indexed="11"/>
      </patternFill>
    </fill>
    <fill>
      <patternFill patternType="solid">
        <fgColor indexed="9"/>
        <bgColor indexed="13"/>
      </patternFill>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41"/>
        <bgColor indexed="64"/>
      </patternFill>
    </fill>
    <fill>
      <patternFill patternType="solid">
        <fgColor theme="9" tint="0.7999816888943144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right style="thick">
        <color indexed="64"/>
      </right>
      <top/>
      <bottom style="thin">
        <color indexed="64"/>
      </bottom>
      <diagonal/>
    </border>
    <border>
      <left/>
      <right style="thick">
        <color indexed="64"/>
      </right>
      <top/>
      <bottom/>
      <diagonal/>
    </border>
    <border>
      <left/>
      <right style="thin">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medium">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style="thick">
        <color indexed="64"/>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right/>
      <top/>
      <bottom style="thick">
        <color indexed="64"/>
      </bottom>
      <diagonal/>
    </border>
  </borders>
  <cellStyleXfs count="15">
    <xf numFmtId="0" fontId="0" fillId="0" borderId="0"/>
    <xf numFmtId="0" fontId="17" fillId="0" borderId="0" applyNumberFormat="0" applyFill="0" applyBorder="0" applyAlignment="0" applyProtection="0">
      <alignment vertical="top"/>
      <protection locked="0"/>
    </xf>
    <xf numFmtId="9" fontId="1" fillId="0" borderId="0" applyFont="0" applyFill="0" applyBorder="0" applyAlignment="0" applyProtection="0"/>
    <xf numFmtId="165" fontId="2" fillId="2" borderId="0" applyBorder="0"/>
    <xf numFmtId="165" fontId="3" fillId="2" borderId="0" applyBorder="0"/>
    <xf numFmtId="164" fontId="2" fillId="2" borderId="0" applyBorder="0">
      <alignment horizontal="left"/>
    </xf>
    <xf numFmtId="164" fontId="3" fillId="2" borderId="0" applyBorder="0">
      <alignment horizontal="left"/>
    </xf>
    <xf numFmtId="167" fontId="4" fillId="3" borderId="1">
      <protection locked="0"/>
    </xf>
    <xf numFmtId="166" fontId="2" fillId="4" borderId="0" applyBorder="0">
      <alignment horizontal="left"/>
    </xf>
    <xf numFmtId="166" fontId="3" fillId="4" borderId="0" applyBorder="0">
      <alignment horizontal="left"/>
    </xf>
    <xf numFmtId="167" fontId="3" fillId="5" borderId="1"/>
    <xf numFmtId="167" fontId="3" fillId="6" borderId="1"/>
    <xf numFmtId="0" fontId="1" fillId="7" borderId="2" applyBorder="0"/>
    <xf numFmtId="1" fontId="2" fillId="7" borderId="0" applyBorder="0">
      <alignment horizontal="left"/>
    </xf>
    <xf numFmtId="164" fontId="2" fillId="8" borderId="3" applyNumberFormat="0" applyBorder="0">
      <alignment horizontal="center" vertical="center"/>
    </xf>
  </cellStyleXfs>
  <cellXfs count="1562">
    <xf numFmtId="0" fontId="0" fillId="0" borderId="0" xfId="0"/>
    <xf numFmtId="0" fontId="5" fillId="0" borderId="0" xfId="0" applyFont="1"/>
    <xf numFmtId="164" fontId="6" fillId="0" borderId="4" xfId="6" applyFont="1" applyFill="1" applyBorder="1">
      <alignment horizontal="left"/>
    </xf>
    <xf numFmtId="164" fontId="6" fillId="0" borderId="0" xfId="6" applyFont="1" applyFill="1" applyBorder="1">
      <alignment horizontal="left"/>
    </xf>
    <xf numFmtId="166" fontId="6" fillId="0" borderId="0" xfId="9" applyFont="1" applyFill="1" applyBorder="1">
      <alignment horizontal="left"/>
    </xf>
    <xf numFmtId="167" fontId="0" fillId="0" borderId="0" xfId="0" applyNumberFormat="1"/>
    <xf numFmtId="167" fontId="5" fillId="0" borderId="0" xfId="0" applyNumberFormat="1" applyFont="1"/>
    <xf numFmtId="0" fontId="0" fillId="0" borderId="0" xfId="0" applyAlignment="1">
      <alignment horizontal="center"/>
    </xf>
    <xf numFmtId="0" fontId="5" fillId="0" borderId="0" xfId="0" applyFont="1" applyAlignment="1">
      <alignment horizontal="center"/>
    </xf>
    <xf numFmtId="167" fontId="5" fillId="0" borderId="0" xfId="0" applyNumberFormat="1" applyFont="1" applyAlignment="1">
      <alignment horizontal="center"/>
    </xf>
    <xf numFmtId="167" fontId="5" fillId="0" borderId="0" xfId="0" applyNumberFormat="1" applyFont="1" applyAlignment="1">
      <alignment horizontal="left"/>
    </xf>
    <xf numFmtId="0" fontId="0" fillId="0" borderId="0" xfId="0" applyAlignment="1">
      <alignment vertical="top" wrapText="1"/>
    </xf>
    <xf numFmtId="3" fontId="0" fillId="0" borderId="0" xfId="0" applyNumberFormat="1"/>
    <xf numFmtId="0" fontId="0" fillId="0" borderId="3" xfId="0" applyBorder="1"/>
    <xf numFmtId="3" fontId="0" fillId="0" borderId="3" xfId="0" applyNumberFormat="1" applyBorder="1"/>
    <xf numFmtId="0" fontId="11" fillId="0" borderId="5" xfId="0" applyFont="1" applyBorder="1" applyAlignment="1">
      <alignment horizontal="center"/>
    </xf>
    <xf numFmtId="0" fontId="11" fillId="0" borderId="5" xfId="0" applyFont="1" applyBorder="1" applyAlignment="1">
      <alignment horizontal="centerContinuous"/>
    </xf>
    <xf numFmtId="3" fontId="5" fillId="0" borderId="0" xfId="0" applyNumberFormat="1" applyFont="1"/>
    <xf numFmtId="3" fontId="5" fillId="0" borderId="3" xfId="0" applyNumberFormat="1" applyFont="1" applyBorder="1"/>
    <xf numFmtId="10" fontId="0" fillId="0" borderId="0" xfId="2" applyNumberFormat="1" applyFont="1"/>
    <xf numFmtId="10" fontId="5" fillId="0" borderId="0" xfId="2" applyNumberFormat="1" applyFont="1"/>
    <xf numFmtId="3" fontId="6" fillId="0" borderId="0" xfId="0" applyNumberFormat="1" applyFont="1"/>
    <xf numFmtId="169" fontId="0" fillId="0" borderId="0" xfId="2" applyNumberFormat="1" applyFont="1"/>
    <xf numFmtId="172" fontId="0" fillId="0" borderId="0" xfId="0" applyNumberFormat="1"/>
    <xf numFmtId="167" fontId="7" fillId="0" borderId="0" xfId="7" applyFont="1" applyFill="1" applyBorder="1">
      <protection locked="0"/>
    </xf>
    <xf numFmtId="166" fontId="5" fillId="0" borderId="6" xfId="8" applyFont="1" applyFill="1" applyBorder="1">
      <alignment horizontal="left"/>
    </xf>
    <xf numFmtId="166" fontId="5" fillId="0" borderId="6" xfId="9" applyFont="1" applyFill="1" applyBorder="1">
      <alignment horizontal="left"/>
    </xf>
    <xf numFmtId="166" fontId="6" fillId="0" borderId="6" xfId="9" applyFont="1" applyFill="1" applyBorder="1">
      <alignment horizontal="left"/>
    </xf>
    <xf numFmtId="169" fontId="5" fillId="0" borderId="7" xfId="2" applyNumberFormat="1" applyFont="1" applyFill="1" applyBorder="1"/>
    <xf numFmtId="169" fontId="5" fillId="0" borderId="8" xfId="2" applyNumberFormat="1" applyFont="1" applyFill="1" applyBorder="1"/>
    <xf numFmtId="169" fontId="7" fillId="0" borderId="9" xfId="2" applyNumberFormat="1" applyFont="1" applyFill="1" applyBorder="1" applyProtection="1">
      <protection locked="0"/>
    </xf>
    <xf numFmtId="169" fontId="7" fillId="0" borderId="7" xfId="2" applyNumberFormat="1" applyFont="1" applyFill="1" applyBorder="1" applyProtection="1">
      <protection locked="0"/>
    </xf>
    <xf numFmtId="169" fontId="7" fillId="0" borderId="8" xfId="2" applyNumberFormat="1" applyFont="1" applyFill="1" applyBorder="1" applyProtection="1">
      <protection locked="0"/>
    </xf>
    <xf numFmtId="166" fontId="5" fillId="0" borderId="10" xfId="8" applyFont="1" applyFill="1" applyBorder="1">
      <alignment horizontal="left"/>
    </xf>
    <xf numFmtId="166" fontId="5" fillId="0" borderId="11" xfId="9" applyFont="1" applyFill="1" applyBorder="1">
      <alignment horizontal="left"/>
    </xf>
    <xf numFmtId="169" fontId="5" fillId="0" borderId="12" xfId="2" applyNumberFormat="1" applyFont="1" applyFill="1" applyBorder="1"/>
    <xf numFmtId="169" fontId="5" fillId="0" borderId="13" xfId="2" applyNumberFormat="1" applyFont="1" applyFill="1" applyBorder="1"/>
    <xf numFmtId="166" fontId="6" fillId="0" borderId="11" xfId="9" applyFont="1" applyFill="1" applyBorder="1">
      <alignment horizontal="left"/>
    </xf>
    <xf numFmtId="166" fontId="5" fillId="0" borderId="14" xfId="8" applyFont="1" applyFill="1" applyBorder="1">
      <alignment horizontal="left"/>
    </xf>
    <xf numFmtId="166" fontId="5" fillId="0" borderId="15" xfId="9" applyFont="1" applyFill="1" applyBorder="1">
      <alignment horizontal="left"/>
    </xf>
    <xf numFmtId="169" fontId="18" fillId="0" borderId="1" xfId="2" applyNumberFormat="1" applyFont="1" applyFill="1" applyBorder="1" applyProtection="1">
      <protection locked="0"/>
    </xf>
    <xf numFmtId="169" fontId="18" fillId="0" borderId="16" xfId="2" applyNumberFormat="1" applyFont="1" applyFill="1" applyBorder="1" applyProtection="1">
      <protection locked="0"/>
    </xf>
    <xf numFmtId="166" fontId="6" fillId="0" borderId="17" xfId="9" applyFont="1" applyFill="1" applyBorder="1">
      <alignment horizontal="left"/>
    </xf>
    <xf numFmtId="169" fontId="7" fillId="0" borderId="18" xfId="2" applyNumberFormat="1" applyFont="1" applyFill="1" applyBorder="1" applyProtection="1">
      <protection locked="0"/>
    </xf>
    <xf numFmtId="169" fontId="7" fillId="0" borderId="19" xfId="2" applyNumberFormat="1" applyFont="1" applyFill="1" applyBorder="1" applyProtection="1">
      <protection locked="0"/>
    </xf>
    <xf numFmtId="169" fontId="7" fillId="0" borderId="20" xfId="2" applyNumberFormat="1" applyFont="1" applyFill="1" applyBorder="1" applyProtection="1">
      <protection locked="0"/>
    </xf>
    <xf numFmtId="169" fontId="5" fillId="0" borderId="1" xfId="2" applyNumberFormat="1" applyFont="1" applyFill="1" applyBorder="1"/>
    <xf numFmtId="169" fontId="5" fillId="0" borderId="16" xfId="2" applyNumberFormat="1" applyFont="1" applyFill="1" applyBorder="1"/>
    <xf numFmtId="166" fontId="5" fillId="0" borderId="21" xfId="9" applyFont="1" applyFill="1" applyBorder="1">
      <alignment horizontal="left"/>
    </xf>
    <xf numFmtId="169" fontId="5" fillId="0" borderId="22" xfId="2" applyNumberFormat="1" applyFont="1" applyFill="1" applyBorder="1"/>
    <xf numFmtId="169" fontId="5" fillId="0" borderId="23" xfId="2" applyNumberFormat="1" applyFont="1" applyFill="1" applyBorder="1"/>
    <xf numFmtId="169" fontId="5" fillId="0" borderId="24" xfId="2" applyNumberFormat="1" applyFont="1" applyFill="1" applyBorder="1"/>
    <xf numFmtId="169" fontId="5" fillId="0" borderId="25" xfId="2" applyNumberFormat="1" applyFont="1" applyFill="1" applyBorder="1"/>
    <xf numFmtId="169" fontId="5" fillId="0" borderId="26" xfId="2" applyNumberFormat="1" applyFont="1" applyFill="1" applyBorder="1"/>
    <xf numFmtId="169" fontId="7" fillId="0" borderId="27" xfId="2" applyNumberFormat="1" applyFont="1" applyFill="1" applyBorder="1" applyProtection="1">
      <protection locked="0"/>
    </xf>
    <xf numFmtId="169" fontId="7" fillId="0" borderId="26" xfId="2" applyNumberFormat="1" applyFont="1" applyFill="1" applyBorder="1" applyProtection="1">
      <protection locked="0"/>
    </xf>
    <xf numFmtId="166" fontId="6" fillId="0" borderId="15" xfId="9" applyFont="1" applyFill="1" applyBorder="1">
      <alignment horizontal="left"/>
    </xf>
    <xf numFmtId="169" fontId="6" fillId="0" borderId="9" xfId="2" applyNumberFormat="1" applyFont="1" applyFill="1" applyBorder="1"/>
    <xf numFmtId="169" fontId="6" fillId="0" borderId="7" xfId="2" applyNumberFormat="1" applyFont="1" applyFill="1" applyBorder="1"/>
    <xf numFmtId="169" fontId="6" fillId="0" borderId="8" xfId="2" applyNumberFormat="1" applyFont="1" applyFill="1" applyBorder="1"/>
    <xf numFmtId="166" fontId="5" fillId="0" borderId="21" xfId="8" applyFont="1" applyFill="1" applyBorder="1">
      <alignment horizontal="left"/>
    </xf>
    <xf numFmtId="9" fontId="0" fillId="0" borderId="0" xfId="0" applyNumberFormat="1"/>
    <xf numFmtId="1" fontId="0" fillId="0" borderId="0" xfId="0" applyNumberFormat="1"/>
    <xf numFmtId="9" fontId="0" fillId="0" borderId="0" xfId="2" applyFont="1"/>
    <xf numFmtId="0" fontId="0" fillId="0" borderId="28" xfId="0" applyBorder="1"/>
    <xf numFmtId="166" fontId="5" fillId="0" borderId="0" xfId="8" applyFont="1" applyFill="1" applyBorder="1">
      <alignment horizontal="left"/>
    </xf>
    <xf numFmtId="0" fontId="6" fillId="0" borderId="0" xfId="0" applyFont="1"/>
    <xf numFmtId="10" fontId="0" fillId="0" borderId="0" xfId="0" applyNumberFormat="1"/>
    <xf numFmtId="10" fontId="5" fillId="0" borderId="0" xfId="0" applyNumberFormat="1" applyFont="1"/>
    <xf numFmtId="0" fontId="16" fillId="0" borderId="0" xfId="0" applyFont="1"/>
    <xf numFmtId="2" fontId="0" fillId="0" borderId="0" xfId="0" applyNumberFormat="1"/>
    <xf numFmtId="0" fontId="0" fillId="0" borderId="29" xfId="0" applyBorder="1"/>
    <xf numFmtId="0" fontId="0" fillId="0" borderId="30" xfId="0" applyBorder="1"/>
    <xf numFmtId="3" fontId="0" fillId="0" borderId="31" xfId="0" applyNumberFormat="1" applyBorder="1"/>
    <xf numFmtId="0" fontId="5" fillId="0" borderId="10" xfId="0" applyFont="1" applyBorder="1"/>
    <xf numFmtId="0" fontId="0" fillId="0" borderId="11" xfId="0" applyBorder="1"/>
    <xf numFmtId="3" fontId="0" fillId="0" borderId="1" xfId="0" applyNumberFormat="1" applyBorder="1"/>
    <xf numFmtId="0" fontId="0" fillId="0" borderId="1" xfId="0" applyBorder="1"/>
    <xf numFmtId="3" fontId="0" fillId="0" borderId="25" xfId="0" applyNumberFormat="1" applyBorder="1"/>
    <xf numFmtId="0" fontId="0" fillId="0" borderId="25" xfId="0" applyBorder="1"/>
    <xf numFmtId="0" fontId="6" fillId="0" borderId="15" xfId="0" applyFont="1" applyBorder="1"/>
    <xf numFmtId="0" fontId="0" fillId="0" borderId="15" xfId="0" applyBorder="1"/>
    <xf numFmtId="3" fontId="0" fillId="0" borderId="32" xfId="0" applyNumberFormat="1" applyBorder="1"/>
    <xf numFmtId="3" fontId="0" fillId="0" borderId="16" xfId="0" applyNumberFormat="1" applyBorder="1"/>
    <xf numFmtId="0" fontId="0" fillId="0" borderId="32" xfId="0" applyBorder="1"/>
    <xf numFmtId="0" fontId="5" fillId="0" borderId="33" xfId="0" applyFont="1" applyBorder="1"/>
    <xf numFmtId="169" fontId="6" fillId="0" borderId="0" xfId="0" applyNumberFormat="1" applyFont="1"/>
    <xf numFmtId="0" fontId="5" fillId="0" borderId="1" xfId="0" applyFont="1" applyBorder="1"/>
    <xf numFmtId="3" fontId="5" fillId="0" borderId="1" xfId="0" applyNumberFormat="1" applyFont="1" applyBorder="1"/>
    <xf numFmtId="0" fontId="0" fillId="0" borderId="34" xfId="0" applyBorder="1"/>
    <xf numFmtId="3" fontId="0" fillId="0" borderId="35" xfId="0" applyNumberFormat="1" applyBorder="1"/>
    <xf numFmtId="0" fontId="5" fillId="0" borderId="34" xfId="0" applyFont="1" applyBorder="1"/>
    <xf numFmtId="3" fontId="5" fillId="0" borderId="35" xfId="0" applyNumberFormat="1" applyFont="1" applyBorder="1"/>
    <xf numFmtId="10" fontId="0" fillId="0" borderId="1" xfId="0" applyNumberFormat="1" applyBorder="1"/>
    <xf numFmtId="10" fontId="0" fillId="0" borderId="37" xfId="0" applyNumberFormat="1" applyBorder="1"/>
    <xf numFmtId="10" fontId="16" fillId="0" borderId="7" xfId="0" applyNumberFormat="1" applyFont="1" applyBorder="1"/>
    <xf numFmtId="10" fontId="16" fillId="0" borderId="19" xfId="0" applyNumberFormat="1" applyFont="1" applyBorder="1"/>
    <xf numFmtId="168" fontId="0" fillId="0" borderId="1" xfId="0" applyNumberFormat="1" applyBorder="1"/>
    <xf numFmtId="0" fontId="0" fillId="0" borderId="22" xfId="0" applyBorder="1"/>
    <xf numFmtId="3" fontId="0" fillId="0" borderId="23" xfId="0" applyNumberFormat="1" applyBorder="1"/>
    <xf numFmtId="3" fontId="0" fillId="0" borderId="38" xfId="0" applyNumberFormat="1" applyBorder="1"/>
    <xf numFmtId="10" fontId="5" fillId="0" borderId="39" xfId="0" applyNumberFormat="1" applyFont="1" applyBorder="1"/>
    <xf numFmtId="10" fontId="0" fillId="0" borderId="40" xfId="0" applyNumberFormat="1" applyBorder="1"/>
    <xf numFmtId="10" fontId="0" fillId="0" borderId="41" xfId="0" applyNumberFormat="1" applyBorder="1"/>
    <xf numFmtId="10" fontId="0" fillId="0" borderId="16" xfId="0" applyNumberFormat="1" applyBorder="1"/>
    <xf numFmtId="10" fontId="0" fillId="0" borderId="42" xfId="0" applyNumberFormat="1" applyBorder="1"/>
    <xf numFmtId="10" fontId="16" fillId="0" borderId="8" xfId="0" applyNumberFormat="1" applyFont="1" applyBorder="1"/>
    <xf numFmtId="10" fontId="16" fillId="0" borderId="20" xfId="0" applyNumberFormat="1" applyFont="1" applyBorder="1"/>
    <xf numFmtId="10" fontId="0" fillId="0" borderId="23" xfId="0" applyNumberFormat="1" applyBorder="1"/>
    <xf numFmtId="10" fontId="0" fillId="0" borderId="24" xfId="0" applyNumberFormat="1" applyBorder="1"/>
    <xf numFmtId="10" fontId="5" fillId="0" borderId="43" xfId="0" applyNumberFormat="1" applyFont="1" applyBorder="1"/>
    <xf numFmtId="0" fontId="0" fillId="0" borderId="14" xfId="0" applyBorder="1"/>
    <xf numFmtId="166" fontId="6" fillId="0" borderId="46" xfId="9" applyFont="1" applyFill="1" applyBorder="1">
      <alignment horizontal="left"/>
    </xf>
    <xf numFmtId="166" fontId="16" fillId="0" borderId="6" xfId="9" applyFont="1" applyFill="1" applyBorder="1">
      <alignment horizontal="left"/>
    </xf>
    <xf numFmtId="166" fontId="16" fillId="0" borderId="17" xfId="9" applyFont="1" applyFill="1" applyBorder="1">
      <alignment horizontal="left"/>
    </xf>
    <xf numFmtId="166" fontId="6" fillId="0" borderId="21" xfId="9" applyFont="1" applyFill="1" applyBorder="1">
      <alignment horizontal="left"/>
    </xf>
    <xf numFmtId="10" fontId="0" fillId="0" borderId="47" xfId="0" applyNumberFormat="1" applyBorder="1"/>
    <xf numFmtId="10" fontId="0" fillId="0" borderId="34" xfId="0" applyNumberFormat="1" applyBorder="1"/>
    <xf numFmtId="10" fontId="0" fillId="0" borderId="48" xfId="0" applyNumberFormat="1" applyBorder="1"/>
    <xf numFmtId="10" fontId="16" fillId="0" borderId="49" xfId="0" applyNumberFormat="1" applyFont="1" applyBorder="1"/>
    <xf numFmtId="10" fontId="16" fillId="0" borderId="50" xfId="0" applyNumberFormat="1" applyFont="1" applyBorder="1"/>
    <xf numFmtId="10" fontId="0" fillId="0" borderId="38" xfId="0" applyNumberFormat="1" applyBorder="1"/>
    <xf numFmtId="10" fontId="0" fillId="0" borderId="51" xfId="0" applyNumberFormat="1" applyBorder="1"/>
    <xf numFmtId="10" fontId="0" fillId="0" borderId="32" xfId="0" applyNumberFormat="1" applyBorder="1"/>
    <xf numFmtId="10" fontId="0" fillId="0" borderId="52" xfId="0" applyNumberFormat="1" applyBorder="1"/>
    <xf numFmtId="10" fontId="16" fillId="0" borderId="9" xfId="0" applyNumberFormat="1" applyFont="1" applyBorder="1"/>
    <xf numFmtId="10" fontId="16" fillId="0" borderId="18" xfId="0" applyNumberFormat="1" applyFont="1" applyBorder="1"/>
    <xf numFmtId="10" fontId="0" fillId="0" borderId="22" xfId="0" applyNumberFormat="1" applyBorder="1"/>
    <xf numFmtId="10" fontId="5" fillId="0" borderId="53" xfId="0" applyNumberFormat="1" applyFont="1" applyBorder="1"/>
    <xf numFmtId="168" fontId="0" fillId="0" borderId="16" xfId="0" applyNumberFormat="1" applyBorder="1"/>
    <xf numFmtId="168" fontId="0" fillId="0" borderId="23" xfId="0" applyNumberFormat="1" applyBorder="1"/>
    <xf numFmtId="168" fontId="0" fillId="0" borderId="24" xfId="0" applyNumberFormat="1" applyBorder="1"/>
    <xf numFmtId="0" fontId="0" fillId="0" borderId="16" xfId="0" applyBorder="1"/>
    <xf numFmtId="0" fontId="0" fillId="0" borderId="18" xfId="0" applyBorder="1"/>
    <xf numFmtId="0" fontId="0" fillId="0" borderId="19" xfId="0" applyBorder="1"/>
    <xf numFmtId="0" fontId="0" fillId="0" borderId="20" xfId="0" applyBorder="1"/>
    <xf numFmtId="168" fontId="0" fillId="0" borderId="25" xfId="0" applyNumberFormat="1" applyBorder="1"/>
    <xf numFmtId="168" fontId="0" fillId="0" borderId="45" xfId="0" applyNumberFormat="1" applyBorder="1"/>
    <xf numFmtId="0" fontId="0" fillId="0" borderId="17" xfId="0" applyBorder="1"/>
    <xf numFmtId="0" fontId="0" fillId="0" borderId="21" xfId="0" applyBorder="1"/>
    <xf numFmtId="168" fontId="0" fillId="0" borderId="34" xfId="0" applyNumberFormat="1" applyBorder="1"/>
    <xf numFmtId="168" fontId="0" fillId="0" borderId="38" xfId="0" applyNumberFormat="1" applyBorder="1"/>
    <xf numFmtId="168" fontId="0" fillId="0" borderId="32" xfId="0" applyNumberFormat="1" applyBorder="1"/>
    <xf numFmtId="3" fontId="5" fillId="0" borderId="23" xfId="0" applyNumberFormat="1" applyFont="1" applyBorder="1"/>
    <xf numFmtId="3" fontId="5" fillId="0" borderId="45" xfId="0" applyNumberFormat="1" applyFont="1" applyBorder="1"/>
    <xf numFmtId="3" fontId="0" fillId="0" borderId="34" xfId="0" applyNumberFormat="1" applyBorder="1"/>
    <xf numFmtId="3" fontId="5" fillId="0" borderId="38" xfId="0" applyNumberFormat="1" applyFont="1" applyBorder="1"/>
    <xf numFmtId="3" fontId="0" fillId="0" borderId="27" xfId="0" applyNumberFormat="1" applyBorder="1"/>
    <xf numFmtId="3" fontId="0" fillId="0" borderId="19" xfId="0" applyNumberFormat="1" applyBorder="1"/>
    <xf numFmtId="3" fontId="0" fillId="0" borderId="50" xfId="0" applyNumberFormat="1" applyBorder="1"/>
    <xf numFmtId="3" fontId="0" fillId="0" borderId="18" xfId="0" applyNumberFormat="1" applyBorder="1"/>
    <xf numFmtId="3" fontId="0" fillId="0" borderId="20" xfId="0" applyNumberFormat="1" applyBorder="1"/>
    <xf numFmtId="3" fontId="6" fillId="0" borderId="1" xfId="0" applyNumberFormat="1" applyFont="1" applyBorder="1"/>
    <xf numFmtId="167" fontId="7" fillId="0" borderId="7" xfId="7" applyFont="1" applyFill="1" applyBorder="1">
      <protection locked="0"/>
    </xf>
    <xf numFmtId="169" fontId="0" fillId="0" borderId="0" xfId="2" applyNumberFormat="1" applyFont="1" applyBorder="1"/>
    <xf numFmtId="169" fontId="5" fillId="0" borderId="0" xfId="0" applyNumberFormat="1" applyFont="1" applyAlignment="1">
      <alignment horizontal="center"/>
    </xf>
    <xf numFmtId="169" fontId="5" fillId="0" borderId="0" xfId="2" applyNumberFormat="1" applyFont="1" applyBorder="1"/>
    <xf numFmtId="0" fontId="5" fillId="0" borderId="35" xfId="0" applyFont="1" applyBorder="1"/>
    <xf numFmtId="169" fontId="5" fillId="0" borderId="25" xfId="2" applyNumberFormat="1" applyFont="1" applyBorder="1"/>
    <xf numFmtId="169" fontId="0" fillId="0" borderId="26" xfId="2" applyNumberFormat="1" applyFont="1" applyBorder="1"/>
    <xf numFmtId="169" fontId="0" fillId="0" borderId="27" xfId="2" applyNumberFormat="1" applyFont="1" applyBorder="1"/>
    <xf numFmtId="169" fontId="0" fillId="0" borderId="1" xfId="2" applyNumberFormat="1" applyFont="1" applyBorder="1"/>
    <xf numFmtId="169" fontId="5" fillId="0" borderId="1" xfId="2" applyNumberFormat="1" applyFont="1" applyBorder="1"/>
    <xf numFmtId="169" fontId="0" fillId="0" borderId="0" xfId="0" applyNumberFormat="1"/>
    <xf numFmtId="0" fontId="20" fillId="0" borderId="0" xfId="0" applyFont="1"/>
    <xf numFmtId="166" fontId="6" fillId="0" borderId="54" xfId="9" applyFont="1" applyFill="1" applyBorder="1">
      <alignment horizontal="left"/>
    </xf>
    <xf numFmtId="167" fontId="7" fillId="0" borderId="28" xfId="7" applyFont="1" applyFill="1" applyBorder="1">
      <protection locked="0"/>
    </xf>
    <xf numFmtId="167" fontId="7" fillId="0" borderId="6" xfId="7" applyFont="1" applyFill="1" applyBorder="1">
      <protection locked="0"/>
    </xf>
    <xf numFmtId="167" fontId="7" fillId="0" borderId="9" xfId="7" applyFont="1" applyFill="1" applyBorder="1">
      <protection locked="0"/>
    </xf>
    <xf numFmtId="166" fontId="13" fillId="0" borderId="10" xfId="9" applyFont="1" applyFill="1" applyBorder="1">
      <alignment horizontal="left"/>
    </xf>
    <xf numFmtId="166" fontId="13" fillId="0" borderId="10" xfId="8" applyFont="1" applyFill="1" applyBorder="1">
      <alignment horizontal="left"/>
    </xf>
    <xf numFmtId="166" fontId="5" fillId="0" borderId="17" xfId="9" applyFont="1" applyFill="1" applyBorder="1">
      <alignment horizontal="left"/>
    </xf>
    <xf numFmtId="0" fontId="0" fillId="0" borderId="6" xfId="0" applyBorder="1"/>
    <xf numFmtId="169" fontId="0" fillId="0" borderId="28" xfId="2" applyNumberFormat="1" applyFont="1" applyBorder="1"/>
    <xf numFmtId="169" fontId="0" fillId="0" borderId="31" xfId="2" applyNumberFormat="1" applyFont="1" applyBorder="1"/>
    <xf numFmtId="169" fontId="0" fillId="0" borderId="30" xfId="2" applyNumberFormat="1" applyFont="1" applyBorder="1"/>
    <xf numFmtId="0" fontId="0" fillId="0" borderId="55" xfId="0" applyBorder="1"/>
    <xf numFmtId="169" fontId="0" fillId="0" borderId="56" xfId="2" applyNumberFormat="1" applyFont="1" applyBorder="1"/>
    <xf numFmtId="169" fontId="0" fillId="0" borderId="7" xfId="2" applyNumberFormat="1" applyFont="1" applyBorder="1"/>
    <xf numFmtId="169" fontId="0" fillId="0" borderId="12" xfId="2" applyNumberFormat="1" applyFont="1" applyBorder="1"/>
    <xf numFmtId="169" fontId="0" fillId="0" borderId="19" xfId="2" applyNumberFormat="1" applyFont="1" applyBorder="1"/>
    <xf numFmtId="169" fontId="0" fillId="0" borderId="57" xfId="2" applyNumberFormat="1" applyFont="1" applyBorder="1"/>
    <xf numFmtId="169" fontId="0" fillId="0" borderId="58" xfId="2" applyNumberFormat="1" applyFont="1" applyBorder="1"/>
    <xf numFmtId="169" fontId="0" fillId="0" borderId="59" xfId="2" applyNumberFormat="1" applyFont="1" applyBorder="1"/>
    <xf numFmtId="169" fontId="0" fillId="0" borderId="55" xfId="2" applyNumberFormat="1" applyFont="1" applyBorder="1"/>
    <xf numFmtId="169" fontId="0" fillId="0" borderId="17" xfId="2" applyNumberFormat="1" applyFont="1" applyBorder="1"/>
    <xf numFmtId="169" fontId="0" fillId="0" borderId="6" xfId="2" applyNumberFormat="1" applyFont="1" applyBorder="1"/>
    <xf numFmtId="169" fontId="0" fillId="0" borderId="11" xfId="2" applyNumberFormat="1" applyFont="1" applyBorder="1"/>
    <xf numFmtId="164" fontId="5" fillId="0" borderId="54" xfId="5" applyFont="1" applyFill="1" applyBorder="1">
      <alignment horizontal="left"/>
    </xf>
    <xf numFmtId="164" fontId="5" fillId="0" borderId="54" xfId="6" applyFont="1" applyFill="1" applyBorder="1">
      <alignment horizontal="left"/>
    </xf>
    <xf numFmtId="164" fontId="6" fillId="0" borderId="54" xfId="6" applyFont="1" applyFill="1" applyBorder="1">
      <alignment horizontal="left"/>
    </xf>
    <xf numFmtId="164" fontId="5" fillId="0" borderId="60" xfId="5" applyFont="1" applyFill="1" applyBorder="1">
      <alignment horizontal="left"/>
    </xf>
    <xf numFmtId="166" fontId="5" fillId="0" borderId="28" xfId="8" applyFont="1" applyFill="1" applyBorder="1">
      <alignment horizontal="left"/>
    </xf>
    <xf numFmtId="166" fontId="5" fillId="0" borderId="28" xfId="9" applyFont="1" applyFill="1" applyBorder="1">
      <alignment horizontal="left"/>
    </xf>
    <xf numFmtId="166" fontId="6" fillId="0" borderId="28" xfId="9" applyFont="1" applyFill="1" applyBorder="1">
      <alignment horizontal="left"/>
    </xf>
    <xf numFmtId="164" fontId="5" fillId="0" borderId="60" xfId="6" applyFont="1" applyFill="1" applyBorder="1">
      <alignment horizontal="left"/>
    </xf>
    <xf numFmtId="166" fontId="5" fillId="0" borderId="31" xfId="9" applyFont="1" applyFill="1" applyBorder="1">
      <alignment horizontal="left"/>
    </xf>
    <xf numFmtId="164" fontId="5" fillId="0" borderId="61" xfId="6" applyFont="1" applyFill="1" applyBorder="1">
      <alignment horizontal="left"/>
    </xf>
    <xf numFmtId="166" fontId="5" fillId="0" borderId="62" xfId="9" applyFont="1" applyFill="1" applyBorder="1">
      <alignment horizontal="left"/>
    </xf>
    <xf numFmtId="164" fontId="6" fillId="0" borderId="63" xfId="6" applyFont="1" applyFill="1" applyBorder="1">
      <alignment horizontal="left"/>
    </xf>
    <xf numFmtId="166" fontId="6" fillId="0" borderId="57" xfId="9" applyFont="1" applyFill="1" applyBorder="1">
      <alignment horizontal="left"/>
    </xf>
    <xf numFmtId="164" fontId="5" fillId="0" borderId="63" xfId="6" applyFont="1" applyFill="1" applyBorder="1">
      <alignment horizontal="left"/>
    </xf>
    <xf numFmtId="166" fontId="5" fillId="0" borderId="57" xfId="9" applyFont="1" applyFill="1" applyBorder="1">
      <alignment horizontal="left"/>
    </xf>
    <xf numFmtId="164" fontId="5" fillId="0" borderId="3" xfId="5" applyFont="1" applyFill="1" applyBorder="1">
      <alignment horizontal="left"/>
    </xf>
    <xf numFmtId="164" fontId="5" fillId="0" borderId="64" xfId="5" applyFont="1" applyFill="1" applyBorder="1">
      <alignment horizontal="left"/>
    </xf>
    <xf numFmtId="164" fontId="5" fillId="0" borderId="65" xfId="5" applyFont="1" applyFill="1" applyBorder="1">
      <alignment horizontal="left"/>
    </xf>
    <xf numFmtId="166" fontId="5" fillId="0" borderId="66" xfId="8" applyFont="1" applyFill="1" applyBorder="1">
      <alignment horizontal="left"/>
    </xf>
    <xf numFmtId="0" fontId="5" fillId="0" borderId="0" xfId="0" applyFont="1" applyAlignment="1">
      <alignment horizontal="left" vertical="top" wrapText="1"/>
    </xf>
    <xf numFmtId="3" fontId="0" fillId="0" borderId="28" xfId="0" applyNumberFormat="1" applyBorder="1"/>
    <xf numFmtId="3" fontId="5" fillId="0" borderId="67" xfId="0" applyNumberFormat="1" applyFont="1" applyBorder="1"/>
    <xf numFmtId="14" fontId="0" fillId="0" borderId="9" xfId="0" applyNumberFormat="1" applyBorder="1"/>
    <xf numFmtId="0" fontId="5" fillId="0" borderId="68" xfId="0" applyFont="1" applyBorder="1"/>
    <xf numFmtId="0" fontId="0" fillId="0" borderId="7" xfId="0" applyBorder="1"/>
    <xf numFmtId="0" fontId="5" fillId="0" borderId="39" xfId="0" applyFont="1" applyBorder="1"/>
    <xf numFmtId="14" fontId="0" fillId="0" borderId="18" xfId="0" applyNumberFormat="1" applyBorder="1"/>
    <xf numFmtId="3" fontId="0" fillId="0" borderId="57" xfId="0" applyNumberFormat="1" applyBorder="1"/>
    <xf numFmtId="0" fontId="0" fillId="0" borderId="60" xfId="0" applyBorder="1"/>
    <xf numFmtId="3" fontId="5" fillId="0" borderId="13" xfId="0" applyNumberFormat="1" applyFont="1" applyBorder="1"/>
    <xf numFmtId="0" fontId="0" fillId="0" borderId="33" xfId="0" applyBorder="1"/>
    <xf numFmtId="0" fontId="0" fillId="0" borderId="5" xfId="0" applyBorder="1"/>
    <xf numFmtId="3" fontId="0" fillId="0" borderId="41" xfId="0" applyNumberFormat="1" applyBorder="1"/>
    <xf numFmtId="0" fontId="5" fillId="0" borderId="0" xfId="0" applyFont="1" applyAlignment="1">
      <alignment vertical="top"/>
    </xf>
    <xf numFmtId="3" fontId="21" fillId="0" borderId="10" xfId="0" applyNumberFormat="1" applyFont="1" applyBorder="1"/>
    <xf numFmtId="0" fontId="0" fillId="0" borderId="54" xfId="0" applyBorder="1"/>
    <xf numFmtId="3" fontId="0" fillId="0" borderId="29" xfId="0" applyNumberFormat="1" applyBorder="1"/>
    <xf numFmtId="3" fontId="0" fillId="0" borderId="30" xfId="0" applyNumberFormat="1" applyBorder="1"/>
    <xf numFmtId="0" fontId="5" fillId="0" borderId="60" xfId="0" applyFont="1" applyBorder="1"/>
    <xf numFmtId="0" fontId="5" fillId="0" borderId="54" xfId="0" applyFont="1" applyBorder="1"/>
    <xf numFmtId="3" fontId="5" fillId="0" borderId="28" xfId="0" applyNumberFormat="1" applyFont="1" applyBorder="1"/>
    <xf numFmtId="170" fontId="0" fillId="0" borderId="0" xfId="0" applyNumberFormat="1"/>
    <xf numFmtId="0" fontId="5" fillId="0" borderId="11" xfId="0" applyFont="1" applyBorder="1"/>
    <xf numFmtId="3" fontId="0" fillId="0" borderId="6" xfId="0" applyNumberFormat="1" applyBorder="1"/>
    <xf numFmtId="3" fontId="0" fillId="0" borderId="55" xfId="0" applyNumberFormat="1" applyBorder="1"/>
    <xf numFmtId="3" fontId="5" fillId="0" borderId="11" xfId="0" applyNumberFormat="1" applyFont="1" applyBorder="1"/>
    <xf numFmtId="0" fontId="5" fillId="0" borderId="31" xfId="0" applyFont="1" applyBorder="1"/>
    <xf numFmtId="3" fontId="0" fillId="0" borderId="54" xfId="0" applyNumberFormat="1" applyBorder="1"/>
    <xf numFmtId="0" fontId="6" fillId="0" borderId="14" xfId="0" applyFont="1" applyBorder="1"/>
    <xf numFmtId="0" fontId="0" fillId="0" borderId="0" xfId="0" applyAlignment="1">
      <alignment horizontal="right"/>
    </xf>
    <xf numFmtId="0" fontId="16" fillId="0" borderId="0" xfId="0" applyFont="1" applyAlignment="1">
      <alignment horizontal="center"/>
    </xf>
    <xf numFmtId="3" fontId="16" fillId="0" borderId="0" xfId="0" applyNumberFormat="1" applyFont="1" applyAlignment="1">
      <alignment horizontal="center"/>
    </xf>
    <xf numFmtId="10" fontId="23" fillId="0" borderId="0" xfId="2" applyNumberFormat="1" applyFont="1"/>
    <xf numFmtId="0" fontId="0" fillId="0" borderId="35" xfId="0" applyBorder="1"/>
    <xf numFmtId="0" fontId="0" fillId="0" borderId="36" xfId="0" applyBorder="1"/>
    <xf numFmtId="0" fontId="0" fillId="0" borderId="26" xfId="0" applyBorder="1"/>
    <xf numFmtId="0" fontId="0" fillId="0" borderId="4" xfId="0" applyBorder="1"/>
    <xf numFmtId="169" fontId="7" fillId="0" borderId="0" xfId="2" applyNumberFormat="1" applyFont="1" applyFill="1" applyBorder="1" applyProtection="1">
      <protection locked="0"/>
    </xf>
    <xf numFmtId="3" fontId="0" fillId="0" borderId="45" xfId="0" applyNumberFormat="1" applyBorder="1"/>
    <xf numFmtId="3" fontId="0" fillId="0" borderId="44" xfId="0" applyNumberFormat="1" applyBorder="1"/>
    <xf numFmtId="3" fontId="0" fillId="0" borderId="40" xfId="0" applyNumberFormat="1" applyBorder="1"/>
    <xf numFmtId="3" fontId="0" fillId="0" borderId="47" xfId="0" applyNumberFormat="1" applyBorder="1"/>
    <xf numFmtId="3" fontId="0" fillId="0" borderId="51" xfId="0" applyNumberFormat="1" applyBorder="1"/>
    <xf numFmtId="0" fontId="0" fillId="0" borderId="59" xfId="0" applyBorder="1"/>
    <xf numFmtId="169" fontId="0" fillId="0" borderId="0" xfId="0" applyNumberFormat="1" applyAlignment="1">
      <alignment horizontal="center"/>
    </xf>
    <xf numFmtId="3" fontId="0" fillId="0" borderId="5" xfId="0" applyNumberFormat="1" applyBorder="1"/>
    <xf numFmtId="3" fontId="0" fillId="0" borderId="69" xfId="0" applyNumberFormat="1" applyBorder="1"/>
    <xf numFmtId="166" fontId="5" fillId="0" borderId="14" xfId="9" applyFont="1" applyFill="1" applyBorder="1">
      <alignment horizontal="left"/>
    </xf>
    <xf numFmtId="169" fontId="0" fillId="0" borderId="0" xfId="2" applyNumberFormat="1" applyFont="1" applyFill="1" applyBorder="1"/>
    <xf numFmtId="10" fontId="0" fillId="0" borderId="0" xfId="2" applyNumberFormat="1" applyFont="1" applyBorder="1"/>
    <xf numFmtId="169" fontId="5" fillId="0" borderId="0" xfId="0" applyNumberFormat="1" applyFont="1"/>
    <xf numFmtId="166" fontId="26" fillId="0" borderId="6" xfId="9" applyFont="1" applyFill="1" applyBorder="1">
      <alignment horizontal="left"/>
    </xf>
    <xf numFmtId="166" fontId="26" fillId="0" borderId="11" xfId="9" applyFont="1" applyFill="1" applyBorder="1">
      <alignment horizontal="left"/>
    </xf>
    <xf numFmtId="0" fontId="27" fillId="0" borderId="0" xfId="0" applyFont="1"/>
    <xf numFmtId="1" fontId="5" fillId="0" borderId="6" xfId="13" applyFont="1" applyFill="1" applyBorder="1">
      <alignment horizontal="left"/>
    </xf>
    <xf numFmtId="166" fontId="5" fillId="0" borderId="29" xfId="8" applyFont="1" applyFill="1" applyBorder="1">
      <alignment horizontal="left"/>
    </xf>
    <xf numFmtId="167" fontId="5" fillId="0" borderId="29" xfId="10" applyFont="1" applyFill="1" applyBorder="1"/>
    <xf numFmtId="0" fontId="27" fillId="0" borderId="3" xfId="0" applyFont="1" applyBorder="1"/>
    <xf numFmtId="167" fontId="5" fillId="0" borderId="3" xfId="10" applyFont="1" applyFill="1" applyBorder="1"/>
    <xf numFmtId="2" fontId="6" fillId="0" borderId="55" xfId="0" applyNumberFormat="1" applyFont="1" applyBorder="1"/>
    <xf numFmtId="166" fontId="13" fillId="0" borderId="29" xfId="9" applyFont="1" applyFill="1" applyBorder="1">
      <alignment horizontal="left"/>
    </xf>
    <xf numFmtId="166" fontId="25" fillId="0" borderId="6" xfId="8" applyFont="1" applyFill="1" applyBorder="1">
      <alignment horizontal="left"/>
    </xf>
    <xf numFmtId="166" fontId="25" fillId="0" borderId="55" xfId="8" applyFont="1" applyFill="1" applyBorder="1">
      <alignment horizontal="left"/>
    </xf>
    <xf numFmtId="1" fontId="6" fillId="0" borderId="6" xfId="13" applyFont="1" applyFill="1" applyBorder="1">
      <alignment horizontal="left"/>
    </xf>
    <xf numFmtId="174" fontId="6" fillId="0" borderId="6" xfId="12" applyNumberFormat="1" applyFont="1" applyFill="1" applyBorder="1"/>
    <xf numFmtId="174" fontId="6" fillId="0" borderId="9" xfId="12" applyNumberFormat="1" applyFont="1" applyFill="1" applyBorder="1"/>
    <xf numFmtId="174" fontId="6" fillId="0" borderId="26" xfId="12" applyNumberFormat="1" applyFont="1" applyFill="1" applyBorder="1"/>
    <xf numFmtId="174" fontId="6" fillId="0" borderId="7" xfId="12" applyNumberFormat="1" applyFont="1" applyFill="1" applyBorder="1"/>
    <xf numFmtId="174" fontId="6" fillId="0" borderId="28" xfId="12" applyNumberFormat="1" applyFont="1" applyFill="1" applyBorder="1"/>
    <xf numFmtId="174" fontId="5" fillId="6" borderId="6" xfId="11" applyNumberFormat="1" applyFont="1" applyBorder="1"/>
    <xf numFmtId="174" fontId="5" fillId="6" borderId="9" xfId="11" applyNumberFormat="1" applyFont="1" applyBorder="1"/>
    <xf numFmtId="174" fontId="5" fillId="6" borderId="26" xfId="11" applyNumberFormat="1" applyFont="1" applyBorder="1"/>
    <xf numFmtId="174" fontId="5" fillId="6" borderId="7" xfId="11" applyNumberFormat="1" applyFont="1" applyBorder="1"/>
    <xf numFmtId="174" fontId="5" fillId="6" borderId="28" xfId="11" applyNumberFormat="1" applyFont="1" applyBorder="1"/>
    <xf numFmtId="174" fontId="6" fillId="6" borderId="6" xfId="11" applyNumberFormat="1" applyFont="1" applyBorder="1"/>
    <xf numFmtId="174" fontId="6" fillId="6" borderId="9" xfId="11" applyNumberFormat="1" applyFont="1" applyBorder="1"/>
    <xf numFmtId="174" fontId="6" fillId="6" borderId="26" xfId="11" applyNumberFormat="1" applyFont="1" applyBorder="1"/>
    <xf numFmtId="174" fontId="6" fillId="6" borderId="7" xfId="11" applyNumberFormat="1" applyFont="1" applyBorder="1"/>
    <xf numFmtId="174" fontId="6" fillId="6" borderId="28" xfId="11" applyNumberFormat="1" applyFont="1" applyBorder="1"/>
    <xf numFmtId="174" fontId="5" fillId="6" borderId="17" xfId="11" applyNumberFormat="1" applyFont="1" applyBorder="1"/>
    <xf numFmtId="174" fontId="5" fillId="6" borderId="18" xfId="11" applyNumberFormat="1" applyFont="1" applyBorder="1"/>
    <xf numFmtId="174" fontId="5" fillId="6" borderId="27" xfId="11" applyNumberFormat="1" applyFont="1" applyBorder="1"/>
    <xf numFmtId="174" fontId="5" fillId="6" borderId="19" xfId="11" applyNumberFormat="1" applyFont="1" applyBorder="1"/>
    <xf numFmtId="174" fontId="5" fillId="6" borderId="57" xfId="11" applyNumberFormat="1" applyFont="1" applyBorder="1"/>
    <xf numFmtId="174" fontId="6" fillId="6" borderId="17" xfId="11" applyNumberFormat="1" applyFont="1" applyBorder="1"/>
    <xf numFmtId="174" fontId="6" fillId="6" borderId="18" xfId="11" applyNumberFormat="1" applyFont="1" applyBorder="1"/>
    <xf numFmtId="174" fontId="6" fillId="6" borderId="27" xfId="11" applyNumberFormat="1" applyFont="1" applyBorder="1"/>
    <xf numFmtId="174" fontId="6" fillId="6" borderId="19" xfId="11" applyNumberFormat="1" applyFont="1" applyBorder="1"/>
    <xf numFmtId="174" fontId="6" fillId="6" borderId="57" xfId="11" applyNumberFormat="1" applyFont="1" applyBorder="1"/>
    <xf numFmtId="174" fontId="5" fillId="6" borderId="21" xfId="11" applyNumberFormat="1" applyFont="1" applyBorder="1"/>
    <xf numFmtId="174" fontId="5" fillId="6" borderId="22" xfId="11" applyNumberFormat="1" applyFont="1" applyBorder="1"/>
    <xf numFmtId="174" fontId="5" fillId="6" borderId="45" xfId="11" applyNumberFormat="1" applyFont="1" applyBorder="1"/>
    <xf numFmtId="174" fontId="5" fillId="6" borderId="23" xfId="11" applyNumberFormat="1" applyFont="1" applyBorder="1"/>
    <xf numFmtId="174" fontId="5" fillId="6" borderId="66" xfId="11" applyNumberFormat="1" applyFont="1" applyBorder="1"/>
    <xf numFmtId="174" fontId="6" fillId="0" borderId="55" xfId="12" applyNumberFormat="1" applyFont="1" applyFill="1" applyBorder="1"/>
    <xf numFmtId="174" fontId="6" fillId="0" borderId="70" xfId="12" applyNumberFormat="1" applyFont="1" applyFill="1" applyBorder="1"/>
    <xf numFmtId="174" fontId="6" fillId="0" borderId="58" xfId="12" applyNumberFormat="1" applyFont="1" applyFill="1" applyBorder="1"/>
    <xf numFmtId="174" fontId="6" fillId="0" borderId="56" xfId="12" applyNumberFormat="1" applyFont="1" applyFill="1" applyBorder="1"/>
    <xf numFmtId="174" fontId="6" fillId="0" borderId="30" xfId="12" applyNumberFormat="1" applyFont="1" applyFill="1" applyBorder="1"/>
    <xf numFmtId="174" fontId="5" fillId="6" borderId="11" xfId="11" applyNumberFormat="1" applyFont="1" applyBorder="1"/>
    <xf numFmtId="174" fontId="5" fillId="6" borderId="71" xfId="11" applyNumberFormat="1" applyFont="1" applyBorder="1"/>
    <xf numFmtId="174" fontId="5" fillId="6" borderId="12" xfId="11" applyNumberFormat="1" applyFont="1" applyBorder="1"/>
    <xf numFmtId="174" fontId="5" fillId="6" borderId="31" xfId="11" applyNumberFormat="1" applyFont="1" applyBorder="1"/>
    <xf numFmtId="174" fontId="7" fillId="0" borderId="6" xfId="7" applyNumberFormat="1" applyFont="1" applyFill="1" applyBorder="1">
      <protection locked="0"/>
    </xf>
    <xf numFmtId="174" fontId="7" fillId="0" borderId="9" xfId="7" applyNumberFormat="1" applyFont="1" applyFill="1" applyBorder="1">
      <protection locked="0"/>
    </xf>
    <xf numFmtId="174" fontId="7" fillId="0" borderId="7" xfId="7" applyNumberFormat="1" applyFont="1" applyFill="1" applyBorder="1">
      <protection locked="0"/>
    </xf>
    <xf numFmtId="174" fontId="7" fillId="0" borderId="28" xfId="7" applyNumberFormat="1" applyFont="1" applyFill="1" applyBorder="1">
      <protection locked="0"/>
    </xf>
    <xf numFmtId="174" fontId="7" fillId="0" borderId="17" xfId="7" applyNumberFormat="1" applyFont="1" applyFill="1" applyBorder="1">
      <protection locked="0"/>
    </xf>
    <xf numFmtId="174" fontId="7" fillId="0" borderId="18" xfId="7" applyNumberFormat="1" applyFont="1" applyFill="1" applyBorder="1">
      <protection locked="0"/>
    </xf>
    <xf numFmtId="174" fontId="7" fillId="0" borderId="19" xfId="7" applyNumberFormat="1" applyFont="1" applyFill="1" applyBorder="1">
      <protection locked="0"/>
    </xf>
    <xf numFmtId="174" fontId="7" fillId="0" borderId="57" xfId="7" applyNumberFormat="1" applyFont="1" applyFill="1" applyBorder="1">
      <protection locked="0"/>
    </xf>
    <xf numFmtId="174" fontId="5" fillId="0" borderId="68" xfId="0" applyNumberFormat="1" applyFont="1" applyBorder="1"/>
    <xf numFmtId="174" fontId="5" fillId="0" borderId="39" xfId="0" applyNumberFormat="1" applyFont="1" applyBorder="1"/>
    <xf numFmtId="174" fontId="5" fillId="0" borderId="67" xfId="0" applyNumberFormat="1" applyFont="1" applyBorder="1"/>
    <xf numFmtId="174" fontId="5" fillId="0" borderId="6" xfId="10" applyNumberFormat="1" applyFont="1" applyFill="1" applyBorder="1"/>
    <xf numFmtId="174" fontId="5" fillId="0" borderId="9" xfId="10" applyNumberFormat="1" applyFont="1" applyFill="1" applyBorder="1"/>
    <xf numFmtId="174" fontId="5" fillId="0" borderId="7" xfId="10" applyNumberFormat="1" applyFont="1" applyFill="1" applyBorder="1"/>
    <xf numFmtId="174" fontId="5" fillId="0" borderId="28" xfId="10" applyNumberFormat="1" applyFont="1" applyFill="1" applyBorder="1"/>
    <xf numFmtId="174" fontId="5" fillId="0" borderId="10" xfId="10" applyNumberFormat="1" applyFont="1" applyFill="1" applyBorder="1"/>
    <xf numFmtId="174" fontId="0" fillId="0" borderId="0" xfId="0" applyNumberFormat="1"/>
    <xf numFmtId="174" fontId="13" fillId="6" borderId="10" xfId="11" applyNumberFormat="1" applyFont="1" applyBorder="1"/>
    <xf numFmtId="174" fontId="13" fillId="6" borderId="68" xfId="11" applyNumberFormat="1" applyFont="1" applyBorder="1"/>
    <xf numFmtId="174" fontId="13" fillId="6" borderId="43" xfId="11" applyNumberFormat="1" applyFont="1" applyBorder="1"/>
    <xf numFmtId="174" fontId="13" fillId="6" borderId="39" xfId="11" applyNumberFormat="1" applyFont="1" applyBorder="1"/>
    <xf numFmtId="174" fontId="13" fillId="6" borderId="67" xfId="11" applyNumberFormat="1" applyFont="1" applyBorder="1"/>
    <xf numFmtId="174" fontId="13" fillId="6" borderId="29" xfId="11" applyNumberFormat="1" applyFont="1" applyBorder="1"/>
    <xf numFmtId="174" fontId="13" fillId="6" borderId="3" xfId="11" applyNumberFormat="1" applyFont="1" applyBorder="1"/>
    <xf numFmtId="174" fontId="6" fillId="6" borderId="0" xfId="11" applyNumberFormat="1" applyFont="1" applyBorder="1"/>
    <xf numFmtId="174" fontId="5" fillId="5" borderId="10" xfId="10" applyNumberFormat="1" applyFont="1" applyBorder="1"/>
    <xf numFmtId="174" fontId="5" fillId="5" borderId="68" xfId="10" applyNumberFormat="1" applyFont="1" applyBorder="1"/>
    <xf numFmtId="174" fontId="5" fillId="5" borderId="39" xfId="10" applyNumberFormat="1" applyFont="1" applyBorder="1"/>
    <xf numFmtId="174" fontId="5" fillId="5" borderId="67" xfId="10" applyNumberFormat="1" applyFont="1" applyBorder="1"/>
    <xf numFmtId="174" fontId="5" fillId="5" borderId="6" xfId="10" applyNumberFormat="1" applyFont="1" applyBorder="1"/>
    <xf numFmtId="174" fontId="5" fillId="5" borderId="9" xfId="10" applyNumberFormat="1" applyFont="1" applyBorder="1"/>
    <xf numFmtId="174" fontId="5" fillId="5" borderId="7" xfId="10" applyNumberFormat="1" applyFont="1" applyBorder="1"/>
    <xf numFmtId="174" fontId="5" fillId="5" borderId="28" xfId="10" applyNumberFormat="1" applyFont="1" applyBorder="1"/>
    <xf numFmtId="174" fontId="5" fillId="5" borderId="15" xfId="10" applyNumberFormat="1" applyFont="1" applyBorder="1"/>
    <xf numFmtId="174" fontId="5" fillId="5" borderId="32" xfId="10" applyNumberFormat="1" applyFont="1" applyBorder="1"/>
    <xf numFmtId="174" fontId="5" fillId="5" borderId="1" xfId="10" applyNumberFormat="1" applyFont="1"/>
    <xf numFmtId="174" fontId="5" fillId="5" borderId="62" xfId="10" applyNumberFormat="1" applyFont="1" applyBorder="1"/>
    <xf numFmtId="174" fontId="0" fillId="0" borderId="9" xfId="0" applyNumberFormat="1" applyBorder="1"/>
    <xf numFmtId="174" fontId="0" fillId="0" borderId="7" xfId="0" applyNumberFormat="1" applyBorder="1"/>
    <xf numFmtId="174" fontId="0" fillId="0" borderId="28" xfId="0" applyNumberFormat="1" applyBorder="1"/>
    <xf numFmtId="174" fontId="0" fillId="0" borderId="18" xfId="0" applyNumberFormat="1" applyBorder="1"/>
    <xf numFmtId="174" fontId="0" fillId="0" borderId="19" xfId="0" applyNumberFormat="1" applyBorder="1"/>
    <xf numFmtId="174" fontId="0" fillId="0" borderId="57" xfId="0" applyNumberFormat="1" applyBorder="1"/>
    <xf numFmtId="174" fontId="26" fillId="0" borderId="6" xfId="10" applyNumberFormat="1" applyFont="1" applyFill="1" applyBorder="1"/>
    <xf numFmtId="174" fontId="26" fillId="5" borderId="9" xfId="10" applyNumberFormat="1" applyFont="1" applyBorder="1"/>
    <xf numFmtId="174" fontId="26" fillId="5" borderId="7" xfId="10" applyNumberFormat="1" applyFont="1" applyBorder="1"/>
    <xf numFmtId="174" fontId="26" fillId="5" borderId="28" xfId="10" applyNumberFormat="1" applyFont="1" applyBorder="1"/>
    <xf numFmtId="174" fontId="26" fillId="0" borderId="6" xfId="7" applyNumberFormat="1" applyFont="1" applyFill="1" applyBorder="1">
      <protection locked="0"/>
    </xf>
    <xf numFmtId="174" fontId="26" fillId="0" borderId="9" xfId="0" applyNumberFormat="1" applyFont="1" applyBorder="1"/>
    <xf numFmtId="174" fontId="26" fillId="0" borderId="7" xfId="0" applyNumberFormat="1" applyFont="1" applyBorder="1"/>
    <xf numFmtId="174" fontId="26" fillId="0" borderId="28" xfId="0" applyNumberFormat="1" applyFont="1" applyBorder="1"/>
    <xf numFmtId="174" fontId="26" fillId="0" borderId="11" xfId="7" applyNumberFormat="1" applyFont="1" applyFill="1" applyBorder="1">
      <protection locked="0"/>
    </xf>
    <xf numFmtId="174" fontId="26" fillId="0" borderId="71" xfId="0" applyNumberFormat="1" applyFont="1" applyBorder="1"/>
    <xf numFmtId="174" fontId="26" fillId="0" borderId="12" xfId="0" applyNumberFormat="1" applyFont="1" applyBorder="1"/>
    <xf numFmtId="174" fontId="26" fillId="0" borderId="31" xfId="0" applyNumberFormat="1" applyFont="1" applyBorder="1"/>
    <xf numFmtId="174" fontId="5" fillId="0" borderId="14" xfId="10" applyNumberFormat="1" applyFont="1" applyFill="1" applyBorder="1"/>
    <xf numFmtId="174" fontId="5" fillId="5" borderId="51" xfId="10" applyNumberFormat="1" applyFont="1" applyBorder="1"/>
    <xf numFmtId="174" fontId="5" fillId="5" borderId="40" xfId="10" applyNumberFormat="1" applyFont="1" applyBorder="1"/>
    <xf numFmtId="174" fontId="5" fillId="5" borderId="69" xfId="10" applyNumberFormat="1" applyFont="1" applyBorder="1"/>
    <xf numFmtId="174" fontId="18" fillId="0" borderId="10" xfId="7" applyNumberFormat="1" applyFont="1" applyFill="1" applyBorder="1">
      <protection locked="0"/>
    </xf>
    <xf numFmtId="174" fontId="18" fillId="0" borderId="0" xfId="7" applyNumberFormat="1" applyFont="1" applyFill="1" applyBorder="1">
      <protection locked="0"/>
    </xf>
    <xf numFmtId="174" fontId="5" fillId="0" borderId="0" xfId="0" applyNumberFormat="1" applyFont="1"/>
    <xf numFmtId="174" fontId="5" fillId="5" borderId="43" xfId="10" applyNumberFormat="1" applyFont="1" applyBorder="1"/>
    <xf numFmtId="174" fontId="5" fillId="5" borderId="44" xfId="10" applyNumberFormat="1" applyFont="1" applyBorder="1"/>
    <xf numFmtId="174" fontId="18" fillId="0" borderId="15" xfId="7" applyNumberFormat="1" applyFont="1" applyFill="1" applyBorder="1">
      <protection locked="0"/>
    </xf>
    <xf numFmtId="174" fontId="5" fillId="5" borderId="26" xfId="10" applyNumberFormat="1" applyFont="1" applyBorder="1"/>
    <xf numFmtId="174" fontId="0" fillId="0" borderId="27" xfId="0" applyNumberFormat="1" applyBorder="1"/>
    <xf numFmtId="174" fontId="0" fillId="0" borderId="26" xfId="0" applyNumberFormat="1" applyBorder="1"/>
    <xf numFmtId="174" fontId="5" fillId="0" borderId="11" xfId="10" applyNumberFormat="1" applyFont="1" applyFill="1" applyBorder="1"/>
    <xf numFmtId="174" fontId="5" fillId="5" borderId="71" xfId="10" applyNumberFormat="1" applyFont="1" applyBorder="1"/>
    <xf numFmtId="174" fontId="5" fillId="5" borderId="59" xfId="10" applyNumberFormat="1" applyFont="1" applyBorder="1"/>
    <xf numFmtId="174" fontId="5" fillId="5" borderId="12" xfId="10" applyNumberFormat="1" applyFont="1" applyBorder="1"/>
    <xf numFmtId="174" fontId="5" fillId="5" borderId="31" xfId="10" applyNumberFormat="1" applyFont="1" applyBorder="1"/>
    <xf numFmtId="174" fontId="7" fillId="0" borderId="11" xfId="7" applyNumberFormat="1" applyFont="1" applyFill="1" applyBorder="1">
      <protection locked="0"/>
    </xf>
    <xf numFmtId="174" fontId="0" fillId="0" borderId="71" xfId="0" applyNumberFormat="1" applyBorder="1"/>
    <xf numFmtId="174" fontId="0" fillId="0" borderId="59" xfId="0" applyNumberFormat="1" applyBorder="1"/>
    <xf numFmtId="174" fontId="0" fillId="0" borderId="12" xfId="0" applyNumberFormat="1" applyBorder="1"/>
    <xf numFmtId="174" fontId="0" fillId="0" borderId="31" xfId="0" applyNumberFormat="1" applyBorder="1"/>
    <xf numFmtId="174" fontId="18" fillId="0" borderId="72" xfId="7" applyNumberFormat="1" applyFont="1" applyFill="1" applyBorder="1">
      <protection locked="0"/>
    </xf>
    <xf numFmtId="166" fontId="28" fillId="0" borderId="21" xfId="8" applyFont="1" applyFill="1" applyBorder="1">
      <alignment horizontal="left"/>
    </xf>
    <xf numFmtId="174" fontId="28" fillId="0" borderId="21" xfId="10" applyNumberFormat="1" applyFont="1" applyFill="1" applyBorder="1"/>
    <xf numFmtId="174" fontId="28" fillId="0" borderId="22" xfId="10" applyNumberFormat="1" applyFont="1" applyFill="1" applyBorder="1"/>
    <xf numFmtId="174" fontId="28" fillId="0" borderId="23" xfId="10" applyNumberFormat="1" applyFont="1" applyFill="1" applyBorder="1"/>
    <xf numFmtId="174" fontId="28" fillId="0" borderId="66" xfId="10" applyNumberFormat="1" applyFont="1" applyFill="1" applyBorder="1"/>
    <xf numFmtId="166" fontId="28" fillId="0" borderId="10" xfId="8" applyFont="1" applyFill="1" applyBorder="1">
      <alignment horizontal="left"/>
    </xf>
    <xf numFmtId="174" fontId="28" fillId="0" borderId="10" xfId="10" applyNumberFormat="1" applyFont="1" applyFill="1" applyBorder="1"/>
    <xf numFmtId="174" fontId="28" fillId="0" borderId="68" xfId="10" applyNumberFormat="1" applyFont="1" applyFill="1" applyBorder="1"/>
    <xf numFmtId="174" fontId="28" fillId="0" borderId="39" xfId="10" applyNumberFormat="1" applyFont="1" applyFill="1" applyBorder="1"/>
    <xf numFmtId="174" fontId="28" fillId="0" borderId="67" xfId="10" applyNumberFormat="1" applyFont="1" applyFill="1" applyBorder="1"/>
    <xf numFmtId="166" fontId="28" fillId="0" borderId="11" xfId="9" applyFont="1" applyFill="1" applyBorder="1">
      <alignment horizontal="left"/>
    </xf>
    <xf numFmtId="174" fontId="28" fillId="6" borderId="11" xfId="11" applyNumberFormat="1" applyFont="1" applyBorder="1"/>
    <xf numFmtId="174" fontId="28" fillId="6" borderId="71" xfId="11" applyNumberFormat="1" applyFont="1" applyBorder="1"/>
    <xf numFmtId="174" fontId="28" fillId="6" borderId="12" xfId="11" applyNumberFormat="1" applyFont="1" applyBorder="1"/>
    <xf numFmtId="174" fontId="28" fillId="6" borderId="31" xfId="11" applyNumberFormat="1" applyFont="1" applyBorder="1"/>
    <xf numFmtId="174" fontId="28" fillId="6" borderId="0" xfId="11" applyNumberFormat="1" applyFont="1" applyBorder="1"/>
    <xf numFmtId="174" fontId="6" fillId="0" borderId="6" xfId="14" applyNumberFormat="1" applyFont="1" applyFill="1" applyBorder="1" applyAlignment="1">
      <alignment horizontal="right" vertical="center"/>
    </xf>
    <xf numFmtId="174" fontId="6" fillId="0" borderId="9" xfId="14" applyNumberFormat="1" applyFont="1" applyFill="1" applyBorder="1" applyAlignment="1">
      <alignment horizontal="right" vertical="center"/>
    </xf>
    <xf numFmtId="174" fontId="6" fillId="0" borderId="26" xfId="14" applyNumberFormat="1" applyFont="1" applyFill="1" applyBorder="1" applyAlignment="1">
      <alignment horizontal="right" vertical="center"/>
    </xf>
    <xf numFmtId="174" fontId="6" fillId="0" borderId="7" xfId="14" applyNumberFormat="1" applyFont="1" applyFill="1" applyBorder="1" applyAlignment="1">
      <alignment horizontal="right" vertical="center"/>
    </xf>
    <xf numFmtId="174" fontId="6" fillId="0" borderId="28" xfId="14" applyNumberFormat="1" applyFont="1" applyFill="1" applyBorder="1" applyAlignment="1">
      <alignment horizontal="right" vertical="center"/>
    </xf>
    <xf numFmtId="166" fontId="28" fillId="0" borderId="10" xfId="9" applyFont="1" applyFill="1" applyBorder="1">
      <alignment horizontal="left"/>
    </xf>
    <xf numFmtId="174" fontId="28" fillId="0" borderId="10" xfId="7" applyNumberFormat="1" applyFont="1" applyFill="1" applyBorder="1">
      <protection locked="0"/>
    </xf>
    <xf numFmtId="174" fontId="28" fillId="0" borderId="68" xfId="7" applyNumberFormat="1" applyFont="1" applyFill="1" applyBorder="1">
      <protection locked="0"/>
    </xf>
    <xf numFmtId="174" fontId="28" fillId="0" borderId="39" xfId="7" applyNumberFormat="1" applyFont="1" applyFill="1" applyBorder="1">
      <protection locked="0"/>
    </xf>
    <xf numFmtId="174" fontId="28" fillId="0" borderId="67" xfId="7" applyNumberFormat="1" applyFont="1" applyFill="1" applyBorder="1">
      <protection locked="0"/>
    </xf>
    <xf numFmtId="174" fontId="28" fillId="6" borderId="21" xfId="11" applyNumberFormat="1" applyFont="1" applyBorder="1"/>
    <xf numFmtId="174" fontId="28" fillId="6" borderId="22" xfId="11" applyNumberFormat="1" applyFont="1" applyBorder="1"/>
    <xf numFmtId="174" fontId="28" fillId="6" borderId="45" xfId="11" applyNumberFormat="1" applyFont="1" applyBorder="1"/>
    <xf numFmtId="174" fontId="28" fillId="6" borderId="23" xfId="11" applyNumberFormat="1" applyFont="1" applyBorder="1"/>
    <xf numFmtId="174" fontId="28" fillId="6" borderId="66" xfId="11" applyNumberFormat="1" applyFont="1" applyBorder="1"/>
    <xf numFmtId="174" fontId="5" fillId="6" borderId="0" xfId="11" applyNumberFormat="1" applyFont="1" applyBorder="1"/>
    <xf numFmtId="174" fontId="5" fillId="0" borderId="6" xfId="14" applyNumberFormat="1" applyFont="1" applyFill="1" applyBorder="1" applyAlignment="1">
      <alignment horizontal="right" vertical="center"/>
    </xf>
    <xf numFmtId="174" fontId="5" fillId="0" borderId="9" xfId="14" applyNumberFormat="1" applyFont="1" applyFill="1" applyBorder="1" applyAlignment="1">
      <alignment horizontal="right" vertical="center"/>
    </xf>
    <xf numFmtId="174" fontId="5" fillId="0" borderId="26" xfId="14" applyNumberFormat="1" applyFont="1" applyFill="1" applyBorder="1" applyAlignment="1">
      <alignment horizontal="right" vertical="center"/>
    </xf>
    <xf numFmtId="174" fontId="5" fillId="0" borderId="7" xfId="14" applyNumberFormat="1" applyFont="1" applyFill="1" applyBorder="1" applyAlignment="1">
      <alignment horizontal="right" vertical="center"/>
    </xf>
    <xf numFmtId="174" fontId="5" fillId="0" borderId="28" xfId="14" applyNumberFormat="1" applyFont="1" applyFill="1" applyBorder="1" applyAlignment="1">
      <alignment horizontal="right" vertical="center"/>
    </xf>
    <xf numFmtId="1" fontId="6" fillId="0" borderId="17" xfId="13" applyFont="1" applyFill="1" applyBorder="1">
      <alignment horizontal="left"/>
    </xf>
    <xf numFmtId="174" fontId="6" fillId="0" borderId="17" xfId="14" applyNumberFormat="1" applyFont="1" applyFill="1" applyBorder="1" applyAlignment="1">
      <alignment horizontal="right" vertical="center"/>
    </xf>
    <xf numFmtId="174" fontId="6" fillId="0" borderId="18" xfId="14" applyNumberFormat="1" applyFont="1" applyFill="1" applyBorder="1" applyAlignment="1">
      <alignment horizontal="right" vertical="center"/>
    </xf>
    <xf numFmtId="174" fontId="6" fillId="0" borderId="27" xfId="14" applyNumberFormat="1" applyFont="1" applyFill="1" applyBorder="1" applyAlignment="1">
      <alignment horizontal="right" vertical="center"/>
    </xf>
    <xf numFmtId="174" fontId="6" fillId="0" borderId="19" xfId="14" applyNumberFormat="1" applyFont="1" applyFill="1" applyBorder="1" applyAlignment="1">
      <alignment horizontal="right" vertical="center"/>
    </xf>
    <xf numFmtId="174" fontId="6" fillId="0" borderId="57" xfId="14" applyNumberFormat="1" applyFont="1" applyFill="1" applyBorder="1" applyAlignment="1">
      <alignment horizontal="right" vertical="center"/>
    </xf>
    <xf numFmtId="0" fontId="0" fillId="0" borderId="48" xfId="0" applyBorder="1"/>
    <xf numFmtId="0" fontId="0" fillId="0" borderId="73" xfId="0" applyBorder="1"/>
    <xf numFmtId="0" fontId="0" fillId="0" borderId="49" xfId="0" applyBorder="1"/>
    <xf numFmtId="169" fontId="0" fillId="0" borderId="26" xfId="0" applyNumberFormat="1" applyBorder="1"/>
    <xf numFmtId="0" fontId="0" fillId="0" borderId="50" xfId="0" applyBorder="1"/>
    <xf numFmtId="169" fontId="0" fillId="0" borderId="27" xfId="0" applyNumberFormat="1" applyBorder="1"/>
    <xf numFmtId="167" fontId="7" fillId="0" borderId="74" xfId="7" applyFont="1" applyFill="1" applyBorder="1">
      <protection locked="0"/>
    </xf>
    <xf numFmtId="166" fontId="16" fillId="0" borderId="0" xfId="8" applyFont="1" applyFill="1" applyBorder="1">
      <alignment horizontal="left"/>
    </xf>
    <xf numFmtId="175" fontId="0" fillId="0" borderId="6" xfId="0" applyNumberFormat="1" applyBorder="1"/>
    <xf numFmtId="175" fontId="0" fillId="0" borderId="26" xfId="0" applyNumberFormat="1" applyBorder="1"/>
    <xf numFmtId="175" fontId="0" fillId="0" borderId="7" xfId="0" applyNumberFormat="1" applyBorder="1"/>
    <xf numFmtId="175" fontId="0" fillId="0" borderId="28" xfId="0" applyNumberFormat="1" applyBorder="1"/>
    <xf numFmtId="175" fontId="0" fillId="0" borderId="11" xfId="0" applyNumberFormat="1" applyBorder="1"/>
    <xf numFmtId="175" fontId="0" fillId="0" borderId="59" xfId="0" applyNumberFormat="1" applyBorder="1"/>
    <xf numFmtId="175" fontId="0" fillId="0" borderId="12" xfId="0" applyNumberFormat="1" applyBorder="1"/>
    <xf numFmtId="175" fontId="0" fillId="0" borderId="31" xfId="0" applyNumberFormat="1" applyBorder="1"/>
    <xf numFmtId="0" fontId="0" fillId="0" borderId="10" xfId="0" applyBorder="1"/>
    <xf numFmtId="175" fontId="0" fillId="0" borderId="55" xfId="0" applyNumberFormat="1" applyBorder="1"/>
    <xf numFmtId="175" fontId="0" fillId="0" borderId="58" xfId="0" applyNumberFormat="1" applyBorder="1"/>
    <xf numFmtId="175" fontId="0" fillId="0" borderId="30" xfId="0" applyNumberFormat="1" applyBorder="1"/>
    <xf numFmtId="176" fontId="0" fillId="0" borderId="55" xfId="0" applyNumberFormat="1" applyBorder="1"/>
    <xf numFmtId="176" fontId="0" fillId="0" borderId="58" xfId="0" applyNumberFormat="1" applyBorder="1"/>
    <xf numFmtId="176" fontId="0" fillId="0" borderId="30" xfId="0" applyNumberFormat="1" applyBorder="1"/>
    <xf numFmtId="176" fontId="0" fillId="0" borderId="6" xfId="0" applyNumberFormat="1" applyBorder="1"/>
    <xf numFmtId="176" fontId="0" fillId="0" borderId="26" xfId="0" applyNumberFormat="1" applyBorder="1"/>
    <xf numFmtId="176" fontId="0" fillId="0" borderId="28" xfId="0" applyNumberFormat="1" applyBorder="1"/>
    <xf numFmtId="176" fontId="0" fillId="0" borderId="11" xfId="0" applyNumberFormat="1" applyBorder="1"/>
    <xf numFmtId="176" fontId="0" fillId="0" borderId="59" xfId="0" applyNumberFormat="1" applyBorder="1"/>
    <xf numFmtId="176" fontId="0" fillId="0" borderId="31" xfId="0" applyNumberFormat="1" applyBorder="1"/>
    <xf numFmtId="175" fontId="0" fillId="0" borderId="56" xfId="0" applyNumberFormat="1" applyBorder="1"/>
    <xf numFmtId="174" fontId="5" fillId="0" borderId="29" xfId="10" applyNumberFormat="1" applyFont="1" applyFill="1" applyBorder="1"/>
    <xf numFmtId="174" fontId="5" fillId="0" borderId="3" xfId="10" applyNumberFormat="1" applyFont="1" applyFill="1" applyBorder="1"/>
    <xf numFmtId="0" fontId="14" fillId="0" borderId="0" xfId="0" applyFont="1"/>
    <xf numFmtId="14" fontId="0" fillId="0" borderId="0" xfId="0" applyNumberFormat="1"/>
    <xf numFmtId="0" fontId="30" fillId="0" borderId="0" xfId="0" applyFont="1"/>
    <xf numFmtId="3" fontId="0" fillId="0" borderId="17" xfId="0" applyNumberFormat="1" applyBorder="1"/>
    <xf numFmtId="3" fontId="0" fillId="0" borderId="4" xfId="0" applyNumberFormat="1" applyBorder="1"/>
    <xf numFmtId="177" fontId="0" fillId="0" borderId="0" xfId="0" applyNumberFormat="1"/>
    <xf numFmtId="174" fontId="6" fillId="0" borderId="6" xfId="10" applyNumberFormat="1" applyFont="1" applyFill="1" applyBorder="1"/>
    <xf numFmtId="174" fontId="6" fillId="5" borderId="9" xfId="10" applyNumberFormat="1" applyFont="1" applyBorder="1"/>
    <xf numFmtId="174" fontId="6" fillId="5" borderId="7" xfId="10" applyNumberFormat="1" applyFont="1" applyBorder="1"/>
    <xf numFmtId="174" fontId="6" fillId="5" borderId="28" xfId="10" applyNumberFormat="1" applyFont="1" applyBorder="1"/>
    <xf numFmtId="174" fontId="5" fillId="0" borderId="32" xfId="0" applyNumberFormat="1" applyFont="1" applyBorder="1"/>
    <xf numFmtId="174" fontId="5" fillId="0" borderId="25" xfId="0" applyNumberFormat="1" applyFont="1" applyBorder="1"/>
    <xf numFmtId="174" fontId="5" fillId="0" borderId="1" xfId="0" applyNumberFormat="1" applyFont="1" applyBorder="1"/>
    <xf numFmtId="174" fontId="5" fillId="0" borderId="62" xfId="0" applyNumberFormat="1" applyFont="1" applyBorder="1"/>
    <xf numFmtId="174" fontId="5" fillId="0" borderId="9" xfId="0" applyNumberFormat="1" applyFont="1" applyBorder="1"/>
    <xf numFmtId="174" fontId="5" fillId="0" borderId="26" xfId="0" applyNumberFormat="1" applyFont="1" applyBorder="1"/>
    <xf numFmtId="174" fontId="5" fillId="0" borderId="7" xfId="0" applyNumberFormat="1" applyFont="1" applyBorder="1"/>
    <xf numFmtId="174" fontId="5" fillId="0" borderId="28" xfId="0" applyNumberFormat="1" applyFont="1" applyBorder="1"/>
    <xf numFmtId="0" fontId="28" fillId="0" borderId="0" xfId="0" applyFont="1"/>
    <xf numFmtId="0" fontId="33" fillId="0" borderId="5" xfId="0" applyFont="1" applyBorder="1" applyAlignment="1">
      <alignment horizontal="center"/>
    </xf>
    <xf numFmtId="0" fontId="28" fillId="0" borderId="3" xfId="0" applyFont="1" applyBorder="1"/>
    <xf numFmtId="0" fontId="32"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3" fontId="5" fillId="0" borderId="6" xfId="0" applyNumberFormat="1" applyFont="1" applyBorder="1"/>
    <xf numFmtId="3" fontId="0" fillId="0" borderId="26" xfId="0" applyNumberFormat="1" applyBorder="1"/>
    <xf numFmtId="3" fontId="5" fillId="0" borderId="54" xfId="0" applyNumberFormat="1" applyFont="1" applyBorder="1" applyAlignment="1">
      <alignment horizontal="center"/>
    </xf>
    <xf numFmtId="3" fontId="0" fillId="0" borderId="58" xfId="0" applyNumberFormat="1" applyBorder="1"/>
    <xf numFmtId="3" fontId="0" fillId="0" borderId="49" xfId="0" applyNumberFormat="1" applyBorder="1"/>
    <xf numFmtId="3" fontId="0" fillId="0" borderId="56" xfId="0" applyNumberFormat="1" applyBorder="1"/>
    <xf numFmtId="3" fontId="0" fillId="0" borderId="7" xfId="0" applyNumberFormat="1" applyBorder="1"/>
    <xf numFmtId="3" fontId="0" fillId="0" borderId="12" xfId="0" applyNumberFormat="1" applyBorder="1"/>
    <xf numFmtId="3" fontId="0" fillId="0" borderId="75" xfId="0" applyNumberFormat="1" applyBorder="1"/>
    <xf numFmtId="3" fontId="0" fillId="0" borderId="60" xfId="0" applyNumberFormat="1" applyBorder="1"/>
    <xf numFmtId="0" fontId="5" fillId="9" borderId="68" xfId="0" applyFont="1" applyFill="1" applyBorder="1" applyAlignment="1">
      <alignment horizontal="center" vertical="top" wrapText="1"/>
    </xf>
    <xf numFmtId="0" fontId="5" fillId="9" borderId="72" xfId="0" applyFont="1" applyFill="1" applyBorder="1" applyAlignment="1">
      <alignment horizontal="center" vertical="top" wrapText="1"/>
    </xf>
    <xf numFmtId="0" fontId="15" fillId="9" borderId="43" xfId="0" applyFont="1" applyFill="1" applyBorder="1" applyAlignment="1">
      <alignment horizontal="center" vertical="top" wrapText="1"/>
    </xf>
    <xf numFmtId="0" fontId="5" fillId="9" borderId="67" xfId="0" applyFont="1" applyFill="1" applyBorder="1" applyAlignment="1">
      <alignment horizontal="center" vertical="top" wrapText="1"/>
    </xf>
    <xf numFmtId="0" fontId="5" fillId="9" borderId="76" xfId="0" applyFont="1" applyFill="1" applyBorder="1" applyAlignment="1">
      <alignment horizontal="center" vertical="top" wrapText="1"/>
    </xf>
    <xf numFmtId="0" fontId="15" fillId="9" borderId="67" xfId="0" applyFont="1" applyFill="1" applyBorder="1" applyAlignment="1">
      <alignment horizontal="center" vertical="top" wrapText="1"/>
    </xf>
    <xf numFmtId="0" fontId="5" fillId="9" borderId="39" xfId="0" applyFont="1" applyFill="1" applyBorder="1" applyAlignment="1">
      <alignment horizontal="center" vertical="top" wrapText="1"/>
    </xf>
    <xf numFmtId="0" fontId="5" fillId="0" borderId="9" xfId="0" applyFont="1" applyBorder="1" applyAlignment="1">
      <alignment horizontal="center"/>
    </xf>
    <xf numFmtId="0" fontId="5" fillId="0" borderId="70" xfId="0" applyFont="1" applyBorder="1" applyAlignment="1">
      <alignment horizontal="center"/>
    </xf>
    <xf numFmtId="0" fontId="5" fillId="0" borderId="71" xfId="0" applyFont="1" applyBorder="1" applyAlignment="1">
      <alignment horizontal="center"/>
    </xf>
    <xf numFmtId="0" fontId="16" fillId="0" borderId="0" xfId="0" applyFont="1" applyAlignment="1">
      <alignment vertical="center"/>
    </xf>
    <xf numFmtId="169" fontId="0" fillId="0" borderId="3" xfId="2" applyNumberFormat="1" applyFont="1" applyBorder="1" applyAlignment="1">
      <alignment horizontal="center"/>
    </xf>
    <xf numFmtId="0" fontId="0" fillId="0" borderId="75" xfId="0" applyBorder="1"/>
    <xf numFmtId="3" fontId="6" fillId="0" borderId="9" xfId="0" applyNumberFormat="1" applyFont="1" applyBorder="1"/>
    <xf numFmtId="3" fontId="0" fillId="0" borderId="70" xfId="0" applyNumberFormat="1" applyBorder="1"/>
    <xf numFmtId="3" fontId="0" fillId="0" borderId="9" xfId="0" applyNumberFormat="1" applyBorder="1"/>
    <xf numFmtId="3" fontId="0" fillId="0" borderId="71" xfId="0" applyNumberFormat="1" applyBorder="1"/>
    <xf numFmtId="169" fontId="0" fillId="0" borderId="9" xfId="2" applyNumberFormat="1" applyFont="1" applyBorder="1"/>
    <xf numFmtId="169" fontId="0" fillId="0" borderId="71" xfId="2" applyNumberFormat="1" applyFont="1" applyBorder="1"/>
    <xf numFmtId="169" fontId="0" fillId="0" borderId="70" xfId="2" applyNumberFormat="1" applyFont="1" applyBorder="1"/>
    <xf numFmtId="168" fontId="6" fillId="0" borderId="7" xfId="0" applyNumberFormat="1" applyFont="1" applyBorder="1"/>
    <xf numFmtId="168" fontId="6" fillId="0" borderId="12" xfId="0" applyNumberFormat="1" applyFont="1" applyBorder="1"/>
    <xf numFmtId="168" fontId="6" fillId="0" borderId="56" xfId="0" applyNumberFormat="1" applyFont="1" applyBorder="1"/>
    <xf numFmtId="0" fontId="16" fillId="0" borderId="30" xfId="0" applyFont="1" applyBorder="1" applyAlignment="1">
      <alignment horizontal="center"/>
    </xf>
    <xf numFmtId="0" fontId="16" fillId="0" borderId="28" xfId="0" applyFont="1" applyBorder="1" applyAlignment="1">
      <alignment horizontal="center"/>
    </xf>
    <xf numFmtId="0" fontId="5" fillId="0" borderId="6" xfId="0" applyFont="1" applyBorder="1"/>
    <xf numFmtId="0" fontId="5" fillId="0" borderId="6" xfId="0" applyFont="1" applyBorder="1" applyAlignment="1">
      <alignment horizontal="center"/>
    </xf>
    <xf numFmtId="0" fontId="5" fillId="0" borderId="11" xfId="0" applyFont="1" applyBorder="1" applyAlignment="1">
      <alignment horizontal="center"/>
    </xf>
    <xf numFmtId="0" fontId="5" fillId="0" borderId="55" xfId="0" applyFont="1" applyBorder="1" applyAlignment="1">
      <alignment horizontal="center"/>
    </xf>
    <xf numFmtId="0" fontId="5" fillId="9" borderId="10" xfId="0" applyFont="1" applyFill="1" applyBorder="1" applyAlignment="1">
      <alignment horizontal="center" vertical="top" wrapText="1"/>
    </xf>
    <xf numFmtId="0" fontId="0" fillId="0" borderId="0" xfId="0" applyAlignment="1">
      <alignment vertical="center" wrapText="1"/>
    </xf>
    <xf numFmtId="0" fontId="5" fillId="0" borderId="0" xfId="0" applyFont="1" applyAlignment="1">
      <alignment vertical="center"/>
    </xf>
    <xf numFmtId="0" fontId="21" fillId="0" borderId="0" xfId="0" applyFont="1" applyAlignment="1">
      <alignment vertical="center"/>
    </xf>
    <xf numFmtId="167" fontId="18" fillId="0" borderId="32" xfId="7" applyFont="1" applyFill="1" applyBorder="1">
      <protection locked="0"/>
    </xf>
    <xf numFmtId="167" fontId="18" fillId="0" borderId="1" xfId="7" applyFont="1" applyFill="1">
      <protection locked="0"/>
    </xf>
    <xf numFmtId="167" fontId="18" fillId="0" borderId="62" xfId="7" applyFont="1" applyFill="1" applyBorder="1">
      <protection locked="0"/>
    </xf>
    <xf numFmtId="167" fontId="5" fillId="0" borderId="9" xfId="10" applyFont="1" applyFill="1" applyBorder="1"/>
    <xf numFmtId="167" fontId="5" fillId="0" borderId="7" xfId="10" applyFont="1" applyFill="1" applyBorder="1"/>
    <xf numFmtId="167" fontId="5" fillId="0" borderId="28" xfId="10" applyFont="1" applyFill="1" applyBorder="1"/>
    <xf numFmtId="167" fontId="7" fillId="0" borderId="18" xfId="7" applyFont="1" applyFill="1" applyBorder="1">
      <protection locked="0"/>
    </xf>
    <xf numFmtId="167" fontId="7" fillId="0" borderId="19" xfId="7" applyFont="1" applyFill="1" applyBorder="1">
      <protection locked="0"/>
    </xf>
    <xf numFmtId="167" fontId="7" fillId="0" borderId="57" xfId="7" applyFont="1" applyFill="1" applyBorder="1">
      <protection locked="0"/>
    </xf>
    <xf numFmtId="167" fontId="7" fillId="0" borderId="71" xfId="7" applyFont="1" applyFill="1" applyBorder="1">
      <protection locked="0"/>
    </xf>
    <xf numFmtId="167" fontId="7" fillId="0" borderId="12" xfId="7" applyFont="1" applyFill="1" applyBorder="1">
      <protection locked="0"/>
    </xf>
    <xf numFmtId="167" fontId="7" fillId="0" borderId="31" xfId="7" applyFont="1" applyFill="1" applyBorder="1">
      <protection locked="0"/>
    </xf>
    <xf numFmtId="167" fontId="5" fillId="0" borderId="71" xfId="10" applyFont="1" applyFill="1" applyBorder="1"/>
    <xf numFmtId="167" fontId="5" fillId="0" borderId="12" xfId="10" applyFont="1" applyFill="1" applyBorder="1"/>
    <xf numFmtId="167" fontId="5" fillId="0" borderId="31" xfId="10" applyFont="1" applyFill="1" applyBorder="1"/>
    <xf numFmtId="0" fontId="37" fillId="0" borderId="0" xfId="0" applyFont="1" applyAlignment="1">
      <alignment vertical="center"/>
    </xf>
    <xf numFmtId="1" fontId="5" fillId="9" borderId="76" xfId="13" applyFont="1" applyFill="1" applyBorder="1">
      <alignment horizontal="left"/>
    </xf>
    <xf numFmtId="1" fontId="5" fillId="9" borderId="67" xfId="13" applyFont="1" applyFill="1" applyBorder="1">
      <alignment horizontal="left"/>
    </xf>
    <xf numFmtId="164" fontId="5" fillId="9" borderId="68" xfId="14" applyFont="1" applyFill="1" applyBorder="1">
      <alignment horizontal="center" vertical="center"/>
    </xf>
    <xf numFmtId="164" fontId="5" fillId="9" borderId="39" xfId="14" applyFont="1" applyFill="1" applyBorder="1">
      <alignment horizontal="center" vertical="center"/>
    </xf>
    <xf numFmtId="164" fontId="5" fillId="9" borderId="67" xfId="14" applyFont="1" applyFill="1" applyBorder="1">
      <alignment horizontal="center" vertical="center"/>
    </xf>
    <xf numFmtId="164" fontId="38" fillId="0" borderId="76" xfId="5" applyFont="1" applyFill="1" applyBorder="1">
      <alignment horizontal="left"/>
    </xf>
    <xf numFmtId="166" fontId="38" fillId="0" borderId="67" xfId="8" applyFont="1" applyFill="1" applyBorder="1">
      <alignment horizontal="left"/>
    </xf>
    <xf numFmtId="167" fontId="38" fillId="0" borderId="68" xfId="10" applyFont="1" applyFill="1" applyBorder="1"/>
    <xf numFmtId="167" fontId="38" fillId="0" borderId="39" xfId="10" applyFont="1" applyFill="1" applyBorder="1"/>
    <xf numFmtId="167" fontId="38" fillId="0" borderId="67" xfId="10" applyFont="1" applyFill="1" applyBorder="1"/>
    <xf numFmtId="164" fontId="38" fillId="0" borderId="76" xfId="6" applyFont="1" applyFill="1" applyBorder="1">
      <alignment horizontal="left"/>
    </xf>
    <xf numFmtId="164" fontId="5" fillId="0" borderId="77" xfId="6" applyFont="1" applyFill="1" applyBorder="1">
      <alignment horizontal="left"/>
    </xf>
    <xf numFmtId="166" fontId="5" fillId="0" borderId="78" xfId="9" applyFont="1" applyFill="1" applyBorder="1">
      <alignment horizontal="left"/>
    </xf>
    <xf numFmtId="164" fontId="25" fillId="0" borderId="33" xfId="5" applyFont="1" applyFill="1" applyBorder="1">
      <alignment horizontal="left"/>
    </xf>
    <xf numFmtId="166" fontId="25" fillId="0" borderId="69" xfId="8" applyFont="1" applyFill="1" applyBorder="1">
      <alignment horizontal="left"/>
    </xf>
    <xf numFmtId="167" fontId="25" fillId="0" borderId="51" xfId="10" applyFont="1" applyFill="1" applyBorder="1"/>
    <xf numFmtId="167" fontId="25" fillId="0" borderId="40" xfId="10" applyFont="1" applyFill="1" applyBorder="1"/>
    <xf numFmtId="167" fontId="25" fillId="0" borderId="69" xfId="10" applyFont="1" applyFill="1" applyBorder="1"/>
    <xf numFmtId="164" fontId="25" fillId="0" borderId="76" xfId="5" applyFont="1" applyFill="1" applyBorder="1">
      <alignment horizontal="left"/>
    </xf>
    <xf numFmtId="166" fontId="25" fillId="0" borderId="67" xfId="8" applyFont="1" applyFill="1" applyBorder="1">
      <alignment horizontal="left"/>
    </xf>
    <xf numFmtId="167" fontId="25" fillId="0" borderId="68" xfId="7" applyFont="1" applyFill="1" applyBorder="1">
      <protection locked="0"/>
    </xf>
    <xf numFmtId="167" fontId="25" fillId="0" borderId="39" xfId="7" applyFont="1" applyFill="1" applyBorder="1">
      <protection locked="0"/>
    </xf>
    <xf numFmtId="167" fontId="25" fillId="0" borderId="67" xfId="7" applyFont="1" applyFill="1" applyBorder="1">
      <protection locked="0"/>
    </xf>
    <xf numFmtId="1" fontId="5" fillId="9" borderId="72" xfId="13" applyFont="1" applyFill="1" applyBorder="1">
      <alignment horizontal="left"/>
    </xf>
    <xf numFmtId="164" fontId="5" fillId="9" borderId="43" xfId="14" applyFont="1" applyFill="1" applyBorder="1">
      <alignment horizontal="center" vertical="center"/>
    </xf>
    <xf numFmtId="164" fontId="40" fillId="0" borderId="76" xfId="6" applyFont="1" applyFill="1" applyBorder="1">
      <alignment horizontal="left"/>
    </xf>
    <xf numFmtId="166" fontId="41" fillId="0" borderId="67" xfId="9" applyFont="1" applyFill="1" applyBorder="1">
      <alignment horizontal="left"/>
    </xf>
    <xf numFmtId="166" fontId="41" fillId="0" borderId="67" xfId="8" applyFont="1" applyFill="1" applyBorder="1">
      <alignment horizontal="left"/>
    </xf>
    <xf numFmtId="164" fontId="39" fillId="0" borderId="54" xfId="6" applyFont="1" applyFill="1" applyBorder="1">
      <alignment horizontal="left"/>
    </xf>
    <xf numFmtId="166" fontId="42" fillId="0" borderId="28" xfId="8" applyFont="1" applyFill="1" applyBorder="1">
      <alignment horizontal="left"/>
    </xf>
    <xf numFmtId="164" fontId="39" fillId="0" borderId="64" xfId="6" applyFont="1" applyFill="1" applyBorder="1">
      <alignment horizontal="left"/>
    </xf>
    <xf numFmtId="166" fontId="42" fillId="0" borderId="66" xfId="8" applyFont="1" applyFill="1" applyBorder="1">
      <alignment horizontal="left"/>
    </xf>
    <xf numFmtId="164" fontId="42" fillId="0" borderId="64" xfId="6" applyFont="1" applyFill="1" applyBorder="1">
      <alignment horizontal="left"/>
    </xf>
    <xf numFmtId="179" fontId="7" fillId="0" borderId="9" xfId="7" applyNumberFormat="1" applyFont="1" applyFill="1" applyBorder="1">
      <protection locked="0"/>
    </xf>
    <xf numFmtId="179" fontId="7" fillId="0" borderId="7" xfId="7" applyNumberFormat="1" applyFont="1" applyFill="1" applyBorder="1">
      <protection locked="0"/>
    </xf>
    <xf numFmtId="179" fontId="7" fillId="0" borderId="26" xfId="7" applyNumberFormat="1" applyFont="1" applyFill="1" applyBorder="1">
      <protection locked="0"/>
    </xf>
    <xf numFmtId="179" fontId="7" fillId="0" borderId="28" xfId="7" applyNumberFormat="1" applyFont="1" applyFill="1" applyBorder="1">
      <protection locked="0"/>
    </xf>
    <xf numFmtId="179" fontId="5" fillId="0" borderId="22" xfId="10" applyNumberFormat="1" applyFont="1" applyFill="1" applyBorder="1"/>
    <xf numFmtId="179" fontId="5" fillId="0" borderId="23" xfId="10" applyNumberFormat="1" applyFont="1" applyFill="1" applyBorder="1"/>
    <xf numFmtId="179" fontId="5" fillId="0" borderId="45" xfId="10" applyNumberFormat="1" applyFont="1" applyFill="1" applyBorder="1"/>
    <xf numFmtId="179" fontId="5" fillId="0" borderId="66" xfId="10" applyNumberFormat="1" applyFont="1" applyFill="1" applyBorder="1"/>
    <xf numFmtId="179" fontId="6" fillId="0" borderId="9" xfId="10" applyNumberFormat="1" applyFont="1" applyFill="1" applyBorder="1"/>
    <xf numFmtId="179" fontId="6" fillId="0" borderId="7" xfId="10" applyNumberFormat="1" applyFont="1" applyFill="1" applyBorder="1"/>
    <xf numFmtId="179" fontId="6" fillId="0" borderId="26" xfId="10" applyNumberFormat="1" applyFont="1" applyFill="1" applyBorder="1"/>
    <xf numFmtId="179" fontId="6" fillId="0" borderId="28" xfId="10" applyNumberFormat="1" applyFont="1" applyFill="1" applyBorder="1"/>
    <xf numFmtId="179" fontId="6" fillId="0" borderId="9" xfId="7" applyNumberFormat="1" applyFont="1" applyFill="1" applyBorder="1">
      <protection locked="0"/>
    </xf>
    <xf numFmtId="179" fontId="6" fillId="0" borderId="7" xfId="7" applyNumberFormat="1" applyFont="1" applyFill="1" applyBorder="1">
      <protection locked="0"/>
    </xf>
    <xf numFmtId="179" fontId="6" fillId="0" borderId="26" xfId="7" applyNumberFormat="1" applyFont="1" applyFill="1" applyBorder="1">
      <protection locked="0"/>
    </xf>
    <xf numFmtId="179" fontId="6" fillId="0" borderId="28" xfId="7" applyNumberFormat="1" applyFont="1" applyFill="1" applyBorder="1">
      <protection locked="0"/>
    </xf>
    <xf numFmtId="179" fontId="41" fillId="6" borderId="68" xfId="11" applyNumberFormat="1" applyFont="1" applyBorder="1"/>
    <xf numFmtId="179" fontId="41" fillId="6" borderId="39" xfId="11" applyNumberFormat="1" applyFont="1" applyBorder="1"/>
    <xf numFmtId="179" fontId="41" fillId="6" borderId="67" xfId="11" applyNumberFormat="1" applyFont="1" applyBorder="1"/>
    <xf numFmtId="179" fontId="6" fillId="0" borderId="9" xfId="12" applyNumberFormat="1" applyFont="1" applyFill="1" applyBorder="1"/>
    <xf numFmtId="179" fontId="6" fillId="0" borderId="7" xfId="12" applyNumberFormat="1" applyFont="1" applyFill="1" applyBorder="1"/>
    <xf numFmtId="179" fontId="6" fillId="0" borderId="28" xfId="12" applyNumberFormat="1" applyFont="1" applyFill="1" applyBorder="1"/>
    <xf numFmtId="179" fontId="5" fillId="6" borderId="18" xfId="11" applyNumberFormat="1" applyFont="1" applyBorder="1"/>
    <xf numFmtId="179" fontId="5" fillId="6" borderId="19" xfId="11" applyNumberFormat="1" applyFont="1" applyBorder="1"/>
    <xf numFmtId="179" fontId="5" fillId="6" borderId="57" xfId="11" applyNumberFormat="1" applyFont="1" applyBorder="1"/>
    <xf numFmtId="179" fontId="5" fillId="6" borderId="9" xfId="11" applyNumberFormat="1" applyFont="1" applyBorder="1"/>
    <xf numFmtId="179" fontId="5" fillId="6" borderId="7" xfId="11" applyNumberFormat="1" applyFont="1" applyBorder="1"/>
    <xf numFmtId="179" fontId="5" fillId="6" borderId="28" xfId="11" applyNumberFormat="1" applyFont="1" applyBorder="1"/>
    <xf numFmtId="179" fontId="6" fillId="6" borderId="9" xfId="11" applyNumberFormat="1" applyFont="1" applyBorder="1"/>
    <xf numFmtId="179" fontId="6" fillId="6" borderId="7" xfId="11" applyNumberFormat="1" applyFont="1" applyBorder="1"/>
    <xf numFmtId="179" fontId="6" fillId="6" borderId="28" xfId="11" applyNumberFormat="1" applyFont="1" applyBorder="1"/>
    <xf numFmtId="179" fontId="6" fillId="6" borderId="18" xfId="11" applyNumberFormat="1" applyFont="1" applyBorder="1"/>
    <xf numFmtId="179" fontId="6" fillId="6" borderId="19" xfId="11" applyNumberFormat="1" applyFont="1" applyBorder="1"/>
    <xf numFmtId="179" fontId="6" fillId="6" borderId="57" xfId="11" applyNumberFormat="1" applyFont="1" applyBorder="1"/>
    <xf numFmtId="179" fontId="42" fillId="6" borderId="22" xfId="11" applyNumberFormat="1" applyFont="1" applyBorder="1"/>
    <xf numFmtId="179" fontId="42" fillId="6" borderId="23" xfId="11" applyNumberFormat="1" applyFont="1" applyBorder="1"/>
    <xf numFmtId="179" fontId="42" fillId="6" borderId="66" xfId="11" applyNumberFormat="1" applyFont="1" applyBorder="1"/>
    <xf numFmtId="179" fontId="42" fillId="6" borderId="9" xfId="11" applyNumberFormat="1" applyFont="1" applyBorder="1"/>
    <xf numFmtId="179" fontId="42" fillId="6" borderId="7" xfId="11" applyNumberFormat="1" applyFont="1" applyBorder="1"/>
    <xf numFmtId="179" fontId="42" fillId="6" borderId="28" xfId="11" applyNumberFormat="1" applyFont="1" applyBorder="1"/>
    <xf numFmtId="166" fontId="5" fillId="0" borderId="66" xfId="9" applyFont="1" applyFill="1" applyBorder="1">
      <alignment horizontal="left"/>
    </xf>
    <xf numFmtId="169" fontId="18" fillId="0" borderId="25" xfId="2" applyNumberFormat="1" applyFont="1" applyFill="1" applyBorder="1" applyProtection="1">
      <protection locked="0"/>
    </xf>
    <xf numFmtId="169" fontId="5" fillId="0" borderId="59" xfId="2" applyNumberFormat="1" applyFont="1" applyFill="1" applyBorder="1"/>
    <xf numFmtId="169" fontId="5" fillId="0" borderId="45" xfId="2" applyNumberFormat="1" applyFont="1" applyFill="1" applyBorder="1"/>
    <xf numFmtId="166" fontId="6" fillId="0" borderId="72" xfId="9" applyFont="1" applyFill="1" applyBorder="1">
      <alignment horizontal="left"/>
    </xf>
    <xf numFmtId="164" fontId="5" fillId="9" borderId="79" xfId="14" applyFont="1" applyFill="1" applyBorder="1">
      <alignment horizontal="center" vertical="center"/>
    </xf>
    <xf numFmtId="164" fontId="6" fillId="9" borderId="76" xfId="6" applyFont="1" applyFill="1" applyBorder="1">
      <alignment horizontal="left"/>
    </xf>
    <xf numFmtId="169" fontId="38" fillId="0" borderId="43" xfId="2" applyNumberFormat="1" applyFont="1" applyFill="1" applyBorder="1"/>
    <xf numFmtId="169" fontId="38" fillId="0" borderId="39" xfId="2" applyNumberFormat="1" applyFont="1" applyFill="1" applyBorder="1"/>
    <xf numFmtId="169" fontId="38" fillId="0" borderId="79" xfId="2" applyNumberFormat="1" applyFont="1" applyFill="1" applyBorder="1"/>
    <xf numFmtId="169" fontId="25" fillId="0" borderId="44" xfId="2" applyNumberFormat="1" applyFont="1" applyFill="1" applyBorder="1"/>
    <xf numFmtId="169" fontId="25" fillId="0" borderId="40" xfId="2" applyNumberFormat="1" applyFont="1" applyFill="1" applyBorder="1"/>
    <xf numFmtId="169" fontId="25" fillId="0" borderId="41" xfId="2" applyNumberFormat="1" applyFont="1" applyFill="1" applyBorder="1"/>
    <xf numFmtId="169" fontId="25" fillId="0" borderId="59" xfId="2" applyNumberFormat="1" applyFont="1" applyFill="1" applyBorder="1" applyProtection="1">
      <protection locked="0"/>
    </xf>
    <xf numFmtId="169" fontId="25" fillId="0" borderId="12" xfId="2" applyNumberFormat="1" applyFont="1" applyFill="1" applyBorder="1" applyProtection="1">
      <protection locked="0"/>
    </xf>
    <xf numFmtId="169" fontId="25" fillId="0" borderId="13" xfId="2" applyNumberFormat="1" applyFont="1" applyFill="1" applyBorder="1" applyProtection="1">
      <protection locked="0"/>
    </xf>
    <xf numFmtId="169" fontId="25" fillId="0" borderId="43" xfId="2" applyNumberFormat="1" applyFont="1" applyFill="1" applyBorder="1"/>
    <xf numFmtId="169" fontId="25" fillId="0" borderId="39" xfId="2" applyNumberFormat="1" applyFont="1" applyFill="1" applyBorder="1"/>
    <xf numFmtId="169" fontId="25" fillId="0" borderId="79" xfId="2" applyNumberFormat="1" applyFont="1" applyFill="1" applyBorder="1"/>
    <xf numFmtId="164" fontId="6" fillId="0" borderId="33" xfId="6" applyFont="1" applyFill="1" applyBorder="1">
      <alignment horizontal="left"/>
    </xf>
    <xf numFmtId="164" fontId="6" fillId="0" borderId="5" xfId="6" applyFont="1" applyFill="1" applyBorder="1">
      <alignment horizontal="left"/>
    </xf>
    <xf numFmtId="0" fontId="0" fillId="0" borderId="56" xfId="0" applyBorder="1"/>
    <xf numFmtId="0" fontId="0" fillId="0" borderId="80" xfId="0" applyBorder="1"/>
    <xf numFmtId="2" fontId="0" fillId="0" borderId="7" xfId="0" applyNumberFormat="1" applyBorder="1"/>
    <xf numFmtId="0" fontId="0" fillId="0" borderId="9" xfId="0" applyBorder="1"/>
    <xf numFmtId="0" fontId="0" fillId="0" borderId="8" xfId="0" applyBorder="1"/>
    <xf numFmtId="169" fontId="0" fillId="0" borderId="8" xfId="2" applyNumberFormat="1" applyFont="1" applyBorder="1"/>
    <xf numFmtId="2" fontId="0" fillId="0" borderId="18" xfId="0" applyNumberFormat="1" applyBorder="1"/>
    <xf numFmtId="2" fontId="0" fillId="0" borderId="19" xfId="0" applyNumberFormat="1" applyBorder="1"/>
    <xf numFmtId="2" fontId="0" fillId="0" borderId="20" xfId="0" applyNumberFormat="1" applyBorder="1"/>
    <xf numFmtId="0" fontId="5" fillId="9" borderId="10" xfId="0" applyFont="1" applyFill="1" applyBorder="1"/>
    <xf numFmtId="2" fontId="0" fillId="0" borderId="32" xfId="0" applyNumberFormat="1" applyBorder="1"/>
    <xf numFmtId="2" fontId="0" fillId="0" borderId="1" xfId="0" applyNumberFormat="1" applyBorder="1"/>
    <xf numFmtId="2" fontId="0" fillId="0" borderId="16" xfId="0" applyNumberFormat="1" applyBorder="1"/>
    <xf numFmtId="0" fontId="28" fillId="0" borderId="14" xfId="0" applyFont="1" applyBorder="1"/>
    <xf numFmtId="0" fontId="0" fillId="0" borderId="51" xfId="0" applyBorder="1"/>
    <xf numFmtId="0" fontId="0" fillId="0" borderId="40" xfId="0" applyBorder="1"/>
    <xf numFmtId="0" fontId="0" fillId="0" borderId="41" xfId="0" applyBorder="1"/>
    <xf numFmtId="169" fontId="0" fillId="0" borderId="32" xfId="2" applyNumberFormat="1" applyFont="1" applyBorder="1"/>
    <xf numFmtId="169" fontId="0" fillId="0" borderId="16" xfId="2" applyNumberFormat="1" applyFont="1" applyBorder="1"/>
    <xf numFmtId="172" fontId="0" fillId="0" borderId="32" xfId="0" applyNumberFormat="1" applyBorder="1"/>
    <xf numFmtId="172" fontId="0" fillId="0" borderId="1" xfId="0" applyNumberFormat="1" applyBorder="1"/>
    <xf numFmtId="172" fontId="0" fillId="0" borderId="16" xfId="0" applyNumberFormat="1" applyBorder="1"/>
    <xf numFmtId="172" fontId="0" fillId="0" borderId="22" xfId="0" applyNumberFormat="1" applyBorder="1"/>
    <xf numFmtId="172" fontId="0" fillId="0" borderId="23" xfId="0" applyNumberFormat="1" applyBorder="1"/>
    <xf numFmtId="172" fontId="0" fillId="0" borderId="24" xfId="0" applyNumberFormat="1" applyBorder="1"/>
    <xf numFmtId="0" fontId="28" fillId="0" borderId="17" xfId="0" applyFont="1" applyBorder="1"/>
    <xf numFmtId="2" fontId="0" fillId="0" borderId="22" xfId="0" applyNumberFormat="1" applyBorder="1"/>
    <xf numFmtId="2" fontId="0" fillId="0" borderId="23" xfId="0" applyNumberFormat="1" applyBorder="1"/>
    <xf numFmtId="2" fontId="0" fillId="0" borderId="24" xfId="0" applyNumberFormat="1" applyBorder="1"/>
    <xf numFmtId="169" fontId="0" fillId="0" borderId="23" xfId="2" applyNumberFormat="1" applyFont="1" applyBorder="1"/>
    <xf numFmtId="169" fontId="0" fillId="0" borderId="24" xfId="2" applyNumberFormat="1" applyFont="1" applyBorder="1"/>
    <xf numFmtId="0" fontId="37" fillId="0" borderId="0" xfId="0" applyFont="1"/>
    <xf numFmtId="0" fontId="38" fillId="0" borderId="0" xfId="0" applyFont="1"/>
    <xf numFmtId="3" fontId="44" fillId="0" borderId="22" xfId="0" applyNumberFormat="1" applyFont="1" applyBorder="1"/>
    <xf numFmtId="3" fontId="44" fillId="0" borderId="23" xfId="0" applyNumberFormat="1" applyFont="1" applyBorder="1"/>
    <xf numFmtId="3" fontId="44" fillId="0" borderId="24" xfId="0" applyNumberFormat="1" applyFont="1" applyBorder="1"/>
    <xf numFmtId="3" fontId="44" fillId="0" borderId="51" xfId="0" applyNumberFormat="1" applyFont="1" applyBorder="1"/>
    <xf numFmtId="3" fontId="44" fillId="0" borderId="40" xfId="0" applyNumberFormat="1" applyFont="1" applyBorder="1"/>
    <xf numFmtId="3" fontId="44" fillId="0" borderId="41" xfId="0" applyNumberFormat="1" applyFont="1" applyBorder="1"/>
    <xf numFmtId="10" fontId="28" fillId="0" borderId="68" xfId="0" applyNumberFormat="1" applyFont="1" applyBorder="1"/>
    <xf numFmtId="10" fontId="28" fillId="0" borderId="39" xfId="0" applyNumberFormat="1" applyFont="1" applyBorder="1"/>
    <xf numFmtId="10" fontId="28" fillId="0" borderId="79" xfId="0" applyNumberFormat="1" applyFont="1" applyBorder="1"/>
    <xf numFmtId="0" fontId="5" fillId="0" borderId="17" xfId="0" applyFont="1" applyBorder="1"/>
    <xf numFmtId="168" fontId="5" fillId="0" borderId="27" xfId="0" applyNumberFormat="1" applyFont="1" applyBorder="1"/>
    <xf numFmtId="168" fontId="5" fillId="0" borderId="19" xfId="0" applyNumberFormat="1" applyFont="1" applyBorder="1"/>
    <xf numFmtId="168" fontId="5" fillId="0" borderId="20" xfId="0" applyNumberFormat="1" applyFont="1" applyBorder="1"/>
    <xf numFmtId="168" fontId="5" fillId="0" borderId="43" xfId="0" applyNumberFormat="1" applyFont="1" applyBorder="1"/>
    <xf numFmtId="168" fontId="5" fillId="0" borderId="39" xfId="0" applyNumberFormat="1" applyFont="1" applyBorder="1"/>
    <xf numFmtId="168" fontId="5" fillId="0" borderId="53" xfId="0" applyNumberFormat="1" applyFont="1" applyBorder="1"/>
    <xf numFmtId="0" fontId="5" fillId="0" borderId="14" xfId="0" applyFont="1" applyBorder="1"/>
    <xf numFmtId="168" fontId="5" fillId="0" borderId="44" xfId="0" applyNumberFormat="1" applyFont="1" applyBorder="1"/>
    <xf numFmtId="168" fontId="5" fillId="0" borderId="40" xfId="0" applyNumberFormat="1" applyFont="1" applyBorder="1"/>
    <xf numFmtId="168" fontId="5" fillId="0" borderId="47" xfId="0" applyNumberFormat="1" applyFont="1" applyBorder="1"/>
    <xf numFmtId="0" fontId="5" fillId="0" borderId="18" xfId="0" applyFont="1" applyBorder="1"/>
    <xf numFmtId="0" fontId="5" fillId="0" borderId="19" xfId="0" applyFont="1" applyBorder="1"/>
    <xf numFmtId="0" fontId="5" fillId="0" borderId="20" xfId="0" applyFont="1" applyBorder="1"/>
    <xf numFmtId="168" fontId="5" fillId="0" borderId="51" xfId="0" applyNumberFormat="1" applyFont="1" applyBorder="1"/>
    <xf numFmtId="168" fontId="5" fillId="0" borderId="41" xfId="0" applyNumberFormat="1" applyFont="1" applyBorder="1"/>
    <xf numFmtId="0" fontId="0" fillId="9" borderId="55" xfId="0" applyFill="1" applyBorder="1"/>
    <xf numFmtId="0" fontId="0" fillId="9" borderId="10" xfId="0" applyFill="1" applyBorder="1"/>
    <xf numFmtId="0" fontId="0" fillId="0" borderId="27" xfId="0" applyBorder="1"/>
    <xf numFmtId="169" fontId="0" fillId="0" borderId="19" xfId="0" applyNumberFormat="1" applyBorder="1"/>
    <xf numFmtId="169" fontId="0" fillId="0" borderId="50" xfId="0" applyNumberFormat="1" applyBorder="1"/>
    <xf numFmtId="169" fontId="44" fillId="0" borderId="18" xfId="0" applyNumberFormat="1" applyFont="1" applyBorder="1"/>
    <xf numFmtId="169" fontId="44" fillId="0" borderId="19" xfId="0" applyNumberFormat="1" applyFont="1" applyBorder="1"/>
    <xf numFmtId="169" fontId="44" fillId="0" borderId="20" xfId="0" applyNumberFormat="1" applyFont="1" applyBorder="1"/>
    <xf numFmtId="166" fontId="6" fillId="0" borderId="55" xfId="9" applyFont="1" applyFill="1" applyBorder="1">
      <alignment horizontal="left"/>
    </xf>
    <xf numFmtId="0" fontId="0" fillId="0" borderId="63" xfId="0" applyBorder="1"/>
    <xf numFmtId="0" fontId="0" fillId="0" borderId="57" xfId="0" applyBorder="1"/>
    <xf numFmtId="3" fontId="28" fillId="0" borderId="22" xfId="0" applyNumberFormat="1" applyFont="1" applyBorder="1"/>
    <xf numFmtId="3" fontId="28" fillId="0" borderId="23" xfId="0" applyNumberFormat="1" applyFont="1" applyBorder="1"/>
    <xf numFmtId="3" fontId="28" fillId="0" borderId="24" xfId="0" applyNumberFormat="1" applyFont="1" applyBorder="1"/>
    <xf numFmtId="166" fontId="45" fillId="0" borderId="10" xfId="9" applyFont="1" applyFill="1" applyBorder="1">
      <alignment horizontal="left"/>
    </xf>
    <xf numFmtId="3" fontId="0" fillId="0" borderId="80" xfId="0" applyNumberFormat="1" applyBorder="1"/>
    <xf numFmtId="3" fontId="5" fillId="0" borderId="9" xfId="0" applyNumberFormat="1" applyFont="1" applyBorder="1"/>
    <xf numFmtId="3" fontId="5" fillId="0" borderId="7" xfId="0" applyNumberFormat="1" applyFont="1" applyBorder="1"/>
    <xf numFmtId="3" fontId="5" fillId="0" borderId="8" xfId="0" applyNumberFormat="1" applyFont="1" applyBorder="1"/>
    <xf numFmtId="2" fontId="0" fillId="0" borderId="71" xfId="0" applyNumberFormat="1" applyBorder="1"/>
    <xf numFmtId="2" fontId="0" fillId="0" borderId="12" xfId="0" applyNumberFormat="1" applyBorder="1"/>
    <xf numFmtId="2" fontId="0" fillId="0" borderId="13" xfId="0" applyNumberFormat="1" applyBorder="1"/>
    <xf numFmtId="3" fontId="5" fillId="0" borderId="52" xfId="0" applyNumberFormat="1" applyFont="1" applyBorder="1"/>
    <xf numFmtId="3" fontId="5" fillId="0" borderId="37" xfId="0" applyNumberFormat="1" applyFont="1" applyBorder="1"/>
    <xf numFmtId="3" fontId="5" fillId="0" borderId="42" xfId="0" applyNumberFormat="1" applyFont="1" applyBorder="1"/>
    <xf numFmtId="0" fontId="0" fillId="0" borderId="71" xfId="0" applyBorder="1"/>
    <xf numFmtId="0" fontId="0" fillId="0" borderId="12" xfId="0" applyBorder="1"/>
    <xf numFmtId="0" fontId="0" fillId="0" borderId="13" xfId="0" applyBorder="1"/>
    <xf numFmtId="0" fontId="45" fillId="0" borderId="0" xfId="0" applyFont="1"/>
    <xf numFmtId="0" fontId="45" fillId="0" borderId="11" xfId="0" applyFont="1" applyBorder="1"/>
    <xf numFmtId="0" fontId="46" fillId="0" borderId="0" xfId="0" applyFont="1"/>
    <xf numFmtId="3" fontId="46" fillId="0" borderId="0" xfId="0" applyNumberFormat="1" applyFont="1"/>
    <xf numFmtId="0" fontId="45" fillId="0" borderId="34" xfId="0" applyFont="1" applyBorder="1"/>
    <xf numFmtId="169" fontId="45" fillId="0" borderId="35" xfId="0" applyNumberFormat="1" applyFont="1" applyBorder="1" applyAlignment="1">
      <alignment horizontal="center"/>
    </xf>
    <xf numFmtId="0" fontId="45" fillId="0" borderId="35" xfId="0" applyFont="1" applyBorder="1" applyAlignment="1">
      <alignment horizontal="center"/>
    </xf>
    <xf numFmtId="0" fontId="5" fillId="9" borderId="1" xfId="0" applyFont="1" applyFill="1" applyBorder="1" applyAlignment="1">
      <alignment vertical="top"/>
    </xf>
    <xf numFmtId="0" fontId="5" fillId="9" borderId="34" xfId="0" applyFont="1" applyFill="1" applyBorder="1" applyAlignment="1">
      <alignment vertical="top"/>
    </xf>
    <xf numFmtId="0" fontId="5" fillId="9" borderId="1" xfId="0" applyFont="1" applyFill="1" applyBorder="1" applyAlignment="1">
      <alignment horizontal="center" wrapText="1"/>
    </xf>
    <xf numFmtId="0" fontId="5" fillId="9" borderId="1" xfId="0" applyFont="1" applyFill="1" applyBorder="1"/>
    <xf numFmtId="3" fontId="0" fillId="0" borderId="15" xfId="0" applyNumberFormat="1" applyBorder="1"/>
    <xf numFmtId="0" fontId="6" fillId="0" borderId="17" xfId="0" applyFont="1" applyBorder="1"/>
    <xf numFmtId="3" fontId="6" fillId="0" borderId="17" xfId="0" applyNumberFormat="1" applyFont="1" applyBorder="1"/>
    <xf numFmtId="3" fontId="6" fillId="0" borderId="19" xfId="0" applyNumberFormat="1" applyFont="1" applyBorder="1"/>
    <xf numFmtId="3" fontId="6" fillId="0" borderId="55" xfId="0" applyNumberFormat="1" applyFont="1" applyBorder="1"/>
    <xf numFmtId="0" fontId="0" fillId="0" borderId="46" xfId="0" applyBorder="1"/>
    <xf numFmtId="3" fontId="0" fillId="0" borderId="37" xfId="0" applyNumberFormat="1" applyBorder="1"/>
    <xf numFmtId="3" fontId="0" fillId="0" borderId="8" xfId="0" applyNumberFormat="1" applyBorder="1"/>
    <xf numFmtId="3" fontId="0" fillId="0" borderId="11" xfId="0" applyNumberFormat="1" applyBorder="1"/>
    <xf numFmtId="3" fontId="0" fillId="0" borderId="46" xfId="0" applyNumberFormat="1" applyBorder="1"/>
    <xf numFmtId="3" fontId="0" fillId="0" borderId="42" xfId="0" applyNumberFormat="1" applyBorder="1"/>
    <xf numFmtId="3" fontId="6" fillId="0" borderId="18" xfId="0" applyNumberFormat="1" applyFont="1" applyBorder="1"/>
    <xf numFmtId="3" fontId="6" fillId="0" borderId="20" xfId="0" applyNumberFormat="1" applyFont="1" applyBorder="1"/>
    <xf numFmtId="3" fontId="6" fillId="0" borderId="70" xfId="0" applyNumberFormat="1" applyFont="1" applyBorder="1"/>
    <xf numFmtId="3" fontId="6" fillId="0" borderId="56" xfId="0" applyNumberFormat="1" applyFont="1" applyBorder="1"/>
    <xf numFmtId="3" fontId="6" fillId="0" borderId="80" xfId="0" applyNumberFormat="1" applyFont="1" applyBorder="1"/>
    <xf numFmtId="3" fontId="0" fillId="0" borderId="52" xfId="0" applyNumberFormat="1" applyBorder="1"/>
    <xf numFmtId="0" fontId="0" fillId="0" borderId="37" xfId="0" applyBorder="1"/>
    <xf numFmtId="3" fontId="0" fillId="0" borderId="10" xfId="0" applyNumberFormat="1" applyBorder="1"/>
    <xf numFmtId="3" fontId="0" fillId="0" borderId="68" xfId="0" applyNumberFormat="1" applyBorder="1"/>
    <xf numFmtId="3" fontId="0" fillId="0" borderId="39" xfId="0" applyNumberFormat="1" applyBorder="1"/>
    <xf numFmtId="3" fontId="0" fillId="0" borderId="79" xfId="0" applyNumberFormat="1" applyBorder="1"/>
    <xf numFmtId="3" fontId="0" fillId="0" borderId="14" xfId="0" applyNumberFormat="1" applyBorder="1"/>
    <xf numFmtId="3" fontId="44" fillId="0" borderId="32" xfId="0" applyNumberFormat="1" applyFont="1" applyBorder="1"/>
    <xf numFmtId="3" fontId="44" fillId="0" borderId="1" xfId="0" applyNumberFormat="1" applyFont="1" applyBorder="1"/>
    <xf numFmtId="3" fontId="44" fillId="0" borderId="16" xfId="0" applyNumberFormat="1" applyFont="1" applyBorder="1"/>
    <xf numFmtId="1" fontId="5" fillId="9" borderId="10" xfId="13" applyFont="1" applyFill="1" applyBorder="1">
      <alignment horizontal="left"/>
    </xf>
    <xf numFmtId="164" fontId="5" fillId="9" borderId="10" xfId="14" applyFont="1" applyFill="1" applyBorder="1">
      <alignment horizontal="center" vertical="center"/>
    </xf>
    <xf numFmtId="164" fontId="5" fillId="9" borderId="68" xfId="0" applyNumberFormat="1" applyFont="1" applyFill="1" applyBorder="1" applyAlignment="1">
      <alignment horizontal="center"/>
    </xf>
    <xf numFmtId="164" fontId="5" fillId="9" borderId="39" xfId="0" applyNumberFormat="1" applyFont="1" applyFill="1" applyBorder="1" applyAlignment="1">
      <alignment horizontal="center"/>
    </xf>
    <xf numFmtId="164" fontId="5" fillId="9" borderId="67" xfId="0" applyNumberFormat="1" applyFont="1" applyFill="1" applyBorder="1" applyAlignment="1">
      <alignment horizontal="center"/>
    </xf>
    <xf numFmtId="1" fontId="5" fillId="9" borderId="1" xfId="0" applyNumberFormat="1" applyFont="1" applyFill="1" applyBorder="1"/>
    <xf numFmtId="0" fontId="5" fillId="9" borderId="1" xfId="0" applyFont="1" applyFill="1" applyBorder="1" applyAlignment="1">
      <alignment horizontal="center"/>
    </xf>
    <xf numFmtId="0" fontId="0" fillId="0" borderId="1" xfId="0" applyBorder="1" applyAlignment="1">
      <alignment vertical="center"/>
    </xf>
    <xf numFmtId="0" fontId="47" fillId="0" borderId="1" xfId="0" applyFont="1" applyBorder="1" applyAlignment="1">
      <alignment horizontal="justify" vertical="center" wrapText="1"/>
    </xf>
    <xf numFmtId="0" fontId="47" fillId="0" borderId="25" xfId="0" applyFont="1" applyBorder="1" applyAlignment="1">
      <alignment horizontal="center" vertical="center" wrapText="1"/>
    </xf>
    <xf numFmtId="169" fontId="47" fillId="0" borderId="25" xfId="0" applyNumberFormat="1" applyFont="1" applyBorder="1" applyAlignment="1">
      <alignment horizontal="right" vertical="center" wrapText="1"/>
    </xf>
    <xf numFmtId="0" fontId="47" fillId="0" borderId="7" xfId="0" applyFont="1" applyBorder="1" applyAlignment="1">
      <alignment horizontal="justify" vertical="center" wrapText="1"/>
    </xf>
    <xf numFmtId="0" fontId="47" fillId="0" borderId="26" xfId="0" applyFont="1" applyBorder="1" applyAlignment="1">
      <alignment horizontal="center" vertical="center" wrapText="1"/>
    </xf>
    <xf numFmtId="0" fontId="47" fillId="0" borderId="26" xfId="0" applyFont="1" applyBorder="1" applyAlignment="1">
      <alignment horizontal="right" vertical="center" wrapText="1"/>
    </xf>
    <xf numFmtId="0" fontId="47" fillId="0" borderId="19" xfId="0" applyFont="1" applyBorder="1" applyAlignment="1">
      <alignment horizontal="justify" vertical="center" wrapText="1"/>
    </xf>
    <xf numFmtId="0" fontId="49" fillId="0" borderId="27" xfId="0" applyFont="1" applyBorder="1" applyAlignment="1">
      <alignment vertical="center" wrapText="1"/>
    </xf>
    <xf numFmtId="0" fontId="47" fillId="0" borderId="27" xfId="0" applyFont="1" applyBorder="1" applyAlignment="1">
      <alignment horizontal="center" vertical="center" wrapText="1"/>
    </xf>
    <xf numFmtId="169" fontId="45" fillId="0" borderId="0" xfId="2" applyNumberFormat="1" applyFont="1" applyBorder="1"/>
    <xf numFmtId="9" fontId="0" fillId="0" borderId="1" xfId="2" applyFont="1" applyBorder="1"/>
    <xf numFmtId="9" fontId="5" fillId="9" borderId="1" xfId="0" applyNumberFormat="1" applyFont="1" applyFill="1" applyBorder="1"/>
    <xf numFmtId="0" fontId="32" fillId="0" borderId="0" xfId="0" applyFont="1"/>
    <xf numFmtId="0" fontId="21" fillId="0" borderId="1" xfId="0" applyFont="1" applyBorder="1"/>
    <xf numFmtId="0" fontId="5" fillId="0" borderId="1" xfId="0" applyFont="1" applyBorder="1" applyAlignment="1">
      <alignment vertical="center"/>
    </xf>
    <xf numFmtId="0" fontId="21" fillId="0" borderId="1" xfId="0" applyFont="1" applyBorder="1" applyAlignment="1">
      <alignment vertical="center"/>
    </xf>
    <xf numFmtId="169" fontId="21" fillId="0" borderId="1" xfId="0" applyNumberFormat="1" applyFont="1" applyBorder="1" applyAlignment="1">
      <alignment vertical="center"/>
    </xf>
    <xf numFmtId="0" fontId="0" fillId="0" borderId="37" xfId="0" applyBorder="1" applyAlignment="1">
      <alignment vertical="center"/>
    </xf>
    <xf numFmtId="169" fontId="0" fillId="0" borderId="37" xfId="0" applyNumberFormat="1" applyBorder="1" applyAlignment="1">
      <alignment vertical="center"/>
    </xf>
    <xf numFmtId="0" fontId="0" fillId="0" borderId="7" xfId="0" applyBorder="1" applyAlignment="1">
      <alignment vertical="center"/>
    </xf>
    <xf numFmtId="0" fontId="0" fillId="0" borderId="19" xfId="0" applyBorder="1" applyAlignment="1">
      <alignment vertical="center"/>
    </xf>
    <xf numFmtId="0" fontId="0" fillId="0" borderId="19" xfId="0" applyBorder="1" applyAlignment="1">
      <alignment horizontal="center" vertical="center"/>
    </xf>
    <xf numFmtId="169" fontId="0" fillId="0" borderId="19" xfId="0" applyNumberFormat="1" applyBorder="1" applyAlignment="1">
      <alignment vertical="center"/>
    </xf>
    <xf numFmtId="9" fontId="0" fillId="0" borderId="19" xfId="0" applyNumberFormat="1" applyBorder="1" applyAlignment="1">
      <alignment vertical="center"/>
    </xf>
    <xf numFmtId="0" fontId="50" fillId="0" borderId="1" xfId="0" applyFont="1" applyBorder="1" applyAlignment="1">
      <alignment horizontal="justify" vertical="center" wrapText="1"/>
    </xf>
    <xf numFmtId="0" fontId="51" fillId="0" borderId="1" xfId="0" applyFont="1" applyBorder="1" applyAlignment="1">
      <alignment vertical="center"/>
    </xf>
    <xf numFmtId="1" fontId="21" fillId="0" borderId="1" xfId="0" applyNumberFormat="1" applyFont="1" applyBorder="1"/>
    <xf numFmtId="0" fontId="52" fillId="0" borderId="1" xfId="0" applyFont="1" applyBorder="1"/>
    <xf numFmtId="0" fontId="52" fillId="0" borderId="35" xfId="0" applyFont="1" applyBorder="1"/>
    <xf numFmtId="0" fontId="52" fillId="0" borderId="19" xfId="0" applyFont="1" applyBorder="1"/>
    <xf numFmtId="0" fontId="52" fillId="0" borderId="4" xfId="0" applyFont="1" applyBorder="1"/>
    <xf numFmtId="10" fontId="52" fillId="0" borderId="27" xfId="0" applyNumberFormat="1" applyFont="1" applyBorder="1"/>
    <xf numFmtId="10" fontId="52" fillId="10" borderId="25" xfId="0" applyNumberFormat="1" applyFont="1" applyFill="1" applyBorder="1"/>
    <xf numFmtId="3" fontId="0" fillId="0" borderId="73" xfId="0" applyNumberFormat="1" applyBorder="1"/>
    <xf numFmtId="0" fontId="5" fillId="0" borderId="50" xfId="0" applyFont="1" applyBorder="1"/>
    <xf numFmtId="169" fontId="0" fillId="0" borderId="4" xfId="0" applyNumberFormat="1" applyBorder="1"/>
    <xf numFmtId="0" fontId="5" fillId="0" borderId="49" xfId="0" applyFont="1" applyBorder="1"/>
    <xf numFmtId="169" fontId="5" fillId="0" borderId="26" xfId="2" applyNumberFormat="1" applyFont="1" applyBorder="1"/>
    <xf numFmtId="0" fontId="5" fillId="0" borderId="7" xfId="0" applyFont="1" applyBorder="1"/>
    <xf numFmtId="0" fontId="5" fillId="9" borderId="25" xfId="0" applyFont="1" applyFill="1" applyBorder="1" applyAlignment="1">
      <alignment horizontal="center"/>
    </xf>
    <xf numFmtId="0" fontId="0" fillId="9" borderId="1" xfId="0" applyFill="1" applyBorder="1"/>
    <xf numFmtId="0" fontId="6" fillId="0" borderId="7" xfId="0" applyFont="1" applyBorder="1"/>
    <xf numFmtId="10" fontId="6" fillId="0" borderId="7" xfId="0" applyNumberFormat="1" applyFont="1" applyBorder="1"/>
    <xf numFmtId="3" fontId="5" fillId="9" borderId="1" xfId="0" applyNumberFormat="1" applyFont="1" applyFill="1" applyBorder="1" applyAlignment="1">
      <alignment horizontal="center" vertical="top"/>
    </xf>
    <xf numFmtId="3" fontId="5" fillId="9" borderId="25" xfId="0" applyNumberFormat="1" applyFont="1" applyFill="1" applyBorder="1" applyAlignment="1">
      <alignment horizontal="center" vertical="top"/>
    </xf>
    <xf numFmtId="10" fontId="5" fillId="0" borderId="1" xfId="0" applyNumberFormat="1" applyFont="1" applyBorder="1"/>
    <xf numFmtId="3" fontId="5" fillId="0" borderId="25" xfId="0" applyNumberFormat="1" applyFont="1" applyBorder="1"/>
    <xf numFmtId="10" fontId="28" fillId="0" borderId="1" xfId="2" applyNumberFormat="1" applyFont="1" applyBorder="1"/>
    <xf numFmtId="10" fontId="28" fillId="0" borderId="19" xfId="2" applyNumberFormat="1" applyFont="1" applyBorder="1"/>
    <xf numFmtId="0" fontId="21" fillId="0" borderId="50" xfId="0" applyFont="1" applyBorder="1"/>
    <xf numFmtId="0" fontId="5" fillId="9" borderId="10" xfId="0" applyFont="1" applyFill="1" applyBorder="1" applyAlignment="1">
      <alignment horizontal="right"/>
    </xf>
    <xf numFmtId="0" fontId="5" fillId="9" borderId="67" xfId="0" applyFont="1" applyFill="1" applyBorder="1"/>
    <xf numFmtId="0" fontId="5" fillId="9" borderId="76" xfId="0" applyFont="1" applyFill="1" applyBorder="1"/>
    <xf numFmtId="3" fontId="6" fillId="0" borderId="14" xfId="0" applyNumberFormat="1" applyFont="1" applyBorder="1"/>
    <xf numFmtId="0" fontId="5" fillId="9" borderId="68" xfId="0" applyFont="1" applyFill="1" applyBorder="1"/>
    <xf numFmtId="0" fontId="5" fillId="9" borderId="39" xfId="0" applyFont="1" applyFill="1" applyBorder="1"/>
    <xf numFmtId="0" fontId="5" fillId="9" borderId="79" xfId="0" applyFont="1" applyFill="1" applyBorder="1"/>
    <xf numFmtId="0" fontId="6" fillId="0" borderId="70" xfId="0" applyFont="1" applyBorder="1"/>
    <xf numFmtId="0" fontId="6" fillId="0" borderId="56" xfId="0" applyFont="1" applyBorder="1"/>
    <xf numFmtId="0" fontId="6" fillId="0" borderId="80" xfId="0" applyFont="1" applyBorder="1"/>
    <xf numFmtId="3" fontId="0" fillId="0" borderId="13" xfId="0" applyNumberFormat="1" applyBorder="1"/>
    <xf numFmtId="0" fontId="22" fillId="9" borderId="10" xfId="0" applyFont="1" applyFill="1" applyBorder="1"/>
    <xf numFmtId="3" fontId="5" fillId="0" borderId="71" xfId="0" applyNumberFormat="1" applyFont="1" applyBorder="1"/>
    <xf numFmtId="3" fontId="5" fillId="0" borderId="12" xfId="0" applyNumberFormat="1" applyFont="1" applyBorder="1"/>
    <xf numFmtId="170" fontId="0" fillId="0" borderId="9" xfId="0" applyNumberFormat="1" applyBorder="1"/>
    <xf numFmtId="170" fontId="0" fillId="0" borderId="7" xfId="0" applyNumberFormat="1" applyBorder="1"/>
    <xf numFmtId="170" fontId="0" fillId="0" borderId="8" xfId="0" applyNumberFormat="1" applyBorder="1"/>
    <xf numFmtId="0" fontId="16" fillId="0" borderId="48" xfId="0" applyFont="1" applyBorder="1"/>
    <xf numFmtId="0" fontId="16" fillId="0" borderId="73" xfId="0" applyFont="1" applyBorder="1"/>
    <xf numFmtId="0" fontId="6" fillId="0" borderId="50" xfId="0" applyFont="1" applyBorder="1"/>
    <xf numFmtId="0" fontId="5" fillId="0" borderId="26" xfId="0" applyFont="1" applyBorder="1"/>
    <xf numFmtId="3" fontId="21" fillId="0" borderId="4" xfId="0" applyNumberFormat="1" applyFont="1" applyBorder="1"/>
    <xf numFmtId="0" fontId="21" fillId="0" borderId="27" xfId="0" applyFont="1" applyBorder="1"/>
    <xf numFmtId="0" fontId="16" fillId="0" borderId="50" xfId="0" applyFont="1" applyBorder="1"/>
    <xf numFmtId="0" fontId="16" fillId="0" borderId="4" xfId="0" applyFont="1" applyBorder="1"/>
    <xf numFmtId="169" fontId="16" fillId="0" borderId="48" xfId="2" applyNumberFormat="1" applyFont="1" applyBorder="1"/>
    <xf numFmtId="3" fontId="16" fillId="0" borderId="50" xfId="0" applyNumberFormat="1" applyFont="1" applyBorder="1"/>
    <xf numFmtId="169" fontId="16" fillId="0" borderId="50" xfId="2" applyNumberFormat="1" applyFont="1" applyBorder="1"/>
    <xf numFmtId="0" fontId="21" fillId="0" borderId="54" xfId="0" applyFont="1" applyBorder="1"/>
    <xf numFmtId="3" fontId="21" fillId="0" borderId="28" xfId="0" applyNumberFormat="1" applyFont="1" applyBorder="1"/>
    <xf numFmtId="3" fontId="21" fillId="0" borderId="9" xfId="0" applyNumberFormat="1" applyFont="1" applyBorder="1"/>
    <xf numFmtId="3" fontId="21" fillId="0" borderId="7" xfId="0" applyNumberFormat="1" applyFont="1" applyBorder="1"/>
    <xf numFmtId="3" fontId="21" fillId="0" borderId="8" xfId="0" applyNumberFormat="1" applyFont="1" applyBorder="1"/>
    <xf numFmtId="3" fontId="21" fillId="0" borderId="0" xfId="0" applyNumberFormat="1" applyFont="1"/>
    <xf numFmtId="0" fontId="5" fillId="9" borderId="72" xfId="0" applyFont="1" applyFill="1" applyBorder="1" applyAlignment="1">
      <alignment horizontal="right"/>
    </xf>
    <xf numFmtId="3" fontId="21" fillId="0" borderId="6" xfId="0" applyNumberFormat="1" applyFont="1" applyBorder="1"/>
    <xf numFmtId="0" fontId="6" fillId="0" borderId="27" xfId="0" applyFont="1" applyBorder="1"/>
    <xf numFmtId="10" fontId="21" fillId="0" borderId="28" xfId="0" applyNumberFormat="1" applyFont="1" applyBorder="1"/>
    <xf numFmtId="10" fontId="43" fillId="0" borderId="28" xfId="0" applyNumberFormat="1" applyFont="1" applyBorder="1"/>
    <xf numFmtId="0" fontId="21" fillId="0" borderId="77" xfId="0" applyFont="1" applyBorder="1"/>
    <xf numFmtId="0" fontId="16" fillId="0" borderId="6" xfId="0" applyFont="1" applyBorder="1"/>
    <xf numFmtId="0" fontId="16" fillId="0" borderId="9" xfId="0" applyFont="1" applyBorder="1"/>
    <xf numFmtId="0" fontId="16" fillId="0" borderId="7" xfId="0" applyFont="1" applyBorder="1"/>
    <xf numFmtId="0" fontId="16" fillId="0" borderId="8" xfId="0" applyFont="1" applyBorder="1"/>
    <xf numFmtId="171" fontId="16" fillId="0" borderId="18" xfId="0" applyNumberFormat="1" applyFont="1" applyBorder="1"/>
    <xf numFmtId="171" fontId="16" fillId="0" borderId="19" xfId="0" applyNumberFormat="1" applyFont="1" applyBorder="1"/>
    <xf numFmtId="171" fontId="16" fillId="0" borderId="20" xfId="0" applyNumberFormat="1" applyFont="1" applyBorder="1"/>
    <xf numFmtId="3" fontId="5" fillId="0" borderId="17" xfId="0" applyNumberFormat="1" applyFont="1" applyBorder="1"/>
    <xf numFmtId="3" fontId="21" fillId="0" borderId="19" xfId="0" applyNumberFormat="1" applyFont="1" applyBorder="1"/>
    <xf numFmtId="169" fontId="0" fillId="0" borderId="37" xfId="2" applyNumberFormat="1" applyFont="1" applyBorder="1"/>
    <xf numFmtId="169" fontId="5" fillId="0" borderId="19" xfId="2" applyNumberFormat="1" applyFont="1" applyBorder="1"/>
    <xf numFmtId="0" fontId="5" fillId="0" borderId="48" xfId="0" applyFont="1" applyBorder="1"/>
    <xf numFmtId="0" fontId="40" fillId="0" borderId="0" xfId="0" applyFont="1"/>
    <xf numFmtId="3" fontId="45" fillId="0" borderId="0" xfId="0" applyNumberFormat="1" applyFont="1"/>
    <xf numFmtId="0" fontId="40" fillId="0" borderId="49" xfId="0" applyFont="1" applyBorder="1"/>
    <xf numFmtId="0" fontId="40" fillId="0" borderId="50" xfId="0" applyFont="1" applyBorder="1"/>
    <xf numFmtId="0" fontId="40" fillId="0" borderId="4" xfId="0" applyFont="1" applyBorder="1"/>
    <xf numFmtId="0" fontId="40" fillId="0" borderId="27" xfId="0" applyFont="1" applyBorder="1"/>
    <xf numFmtId="3" fontId="28" fillId="0" borderId="67" xfId="0" applyNumberFormat="1" applyFont="1" applyBorder="1"/>
    <xf numFmtId="3" fontId="28" fillId="0" borderId="10" xfId="0" applyNumberFormat="1" applyFont="1" applyBorder="1"/>
    <xf numFmtId="172" fontId="0" fillId="0" borderId="49" xfId="0" applyNumberFormat="1" applyBorder="1"/>
    <xf numFmtId="9" fontId="0" fillId="0" borderId="50" xfId="0" applyNumberFormat="1" applyBorder="1"/>
    <xf numFmtId="3" fontId="21" fillId="0" borderId="50" xfId="0" applyNumberFormat="1" applyFont="1" applyBorder="1"/>
    <xf numFmtId="0" fontId="0" fillId="0" borderId="1" xfId="0" applyBorder="1" applyAlignment="1">
      <alignment vertical="center" wrapText="1"/>
    </xf>
    <xf numFmtId="14" fontId="0" fillId="0" borderId="1" xfId="0" applyNumberFormat="1" applyBorder="1" applyAlignment="1">
      <alignment horizontal="left" vertical="center" wrapText="1"/>
    </xf>
    <xf numFmtId="0" fontId="5" fillId="0" borderId="34" xfId="0" applyFont="1" applyBorder="1" applyAlignment="1">
      <alignment vertical="center"/>
    </xf>
    <xf numFmtId="0" fontId="5" fillId="0" borderId="50" xfId="0" applyFont="1" applyBorder="1" applyAlignment="1">
      <alignment vertical="center"/>
    </xf>
    <xf numFmtId="0" fontId="29" fillId="0" borderId="0" xfId="0" applyFont="1" applyAlignment="1">
      <alignment horizontal="center" vertical="center"/>
    </xf>
    <xf numFmtId="0" fontId="30" fillId="0" borderId="0" xfId="0" applyFont="1" applyAlignment="1">
      <alignment horizontal="left" vertical="center"/>
    </xf>
    <xf numFmtId="0" fontId="19" fillId="0" borderId="0" xfId="0" applyFont="1" applyAlignment="1">
      <alignment horizontal="left" vertical="center"/>
    </xf>
    <xf numFmtId="0" fontId="34" fillId="9" borderId="1" xfId="0" applyFont="1" applyFill="1" applyBorder="1" applyAlignment="1">
      <alignment horizontal="center"/>
    </xf>
    <xf numFmtId="0" fontId="5" fillId="9" borderId="35" xfId="0" applyFont="1" applyFill="1" applyBorder="1" applyAlignment="1">
      <alignment horizontal="center"/>
    </xf>
    <xf numFmtId="166" fontId="53" fillId="0" borderId="0" xfId="8" applyFont="1" applyFill="1" applyBorder="1">
      <alignment horizontal="left"/>
    </xf>
    <xf numFmtId="3" fontId="16" fillId="0" borderId="48" xfId="0" applyNumberFormat="1" applyFont="1" applyBorder="1"/>
    <xf numFmtId="169" fontId="0" fillId="0" borderId="7" xfId="0" applyNumberFormat="1" applyBorder="1"/>
    <xf numFmtId="169" fontId="21" fillId="0" borderId="35" xfId="0" applyNumberFormat="1" applyFont="1" applyBorder="1"/>
    <xf numFmtId="169" fontId="21" fillId="0" borderId="1" xfId="0" applyNumberFormat="1" applyFont="1" applyBorder="1"/>
    <xf numFmtId="0" fontId="5" fillId="9" borderId="48" xfId="0" applyFont="1" applyFill="1" applyBorder="1" applyAlignment="1">
      <alignment vertical="center"/>
    </xf>
    <xf numFmtId="0" fontId="5" fillId="9" borderId="37" xfId="0" applyFont="1" applyFill="1" applyBorder="1" applyAlignment="1">
      <alignment vertical="center"/>
    </xf>
    <xf numFmtId="0" fontId="5" fillId="9" borderId="36" xfId="0" applyFont="1" applyFill="1" applyBorder="1" applyAlignment="1">
      <alignment vertical="center"/>
    </xf>
    <xf numFmtId="0" fontId="5" fillId="9" borderId="50" xfId="0" applyFont="1" applyFill="1" applyBorder="1" applyAlignment="1">
      <alignment vertical="center"/>
    </xf>
    <xf numFmtId="0" fontId="5" fillId="9" borderId="27" xfId="0" applyFont="1" applyFill="1" applyBorder="1" applyAlignment="1">
      <alignment vertical="center"/>
    </xf>
    <xf numFmtId="0" fontId="5" fillId="9" borderId="19" xfId="0" applyFont="1" applyFill="1" applyBorder="1" applyAlignment="1">
      <alignment vertical="center"/>
    </xf>
    <xf numFmtId="0" fontId="36" fillId="9" borderId="50" xfId="0" applyFont="1" applyFill="1" applyBorder="1" applyAlignment="1">
      <alignment horizontal="center" vertical="center"/>
    </xf>
    <xf numFmtId="0" fontId="36" fillId="9" borderId="1" xfId="0" applyFont="1" applyFill="1" applyBorder="1" applyAlignment="1">
      <alignment horizontal="center" vertical="center"/>
    </xf>
    <xf numFmtId="49" fontId="0" fillId="0" borderId="0" xfId="0" applyNumberFormat="1" applyAlignment="1">
      <alignment horizontal="center" vertical="center"/>
    </xf>
    <xf numFmtId="49" fontId="21" fillId="0" borderId="0" xfId="0" applyNumberFormat="1" applyFont="1" applyAlignment="1">
      <alignment horizontal="center" vertical="center"/>
    </xf>
    <xf numFmtId="0" fontId="17" fillId="0" borderId="0" xfId="1" applyAlignment="1" applyProtection="1">
      <alignment vertical="center"/>
    </xf>
    <xf numFmtId="0" fontId="17" fillId="0" borderId="25" xfId="1" applyBorder="1" applyAlignment="1" applyProtection="1">
      <alignment vertical="center"/>
    </xf>
    <xf numFmtId="0" fontId="17" fillId="0" borderId="35" xfId="1" applyBorder="1" applyAlignment="1" applyProtection="1">
      <alignment vertical="center"/>
    </xf>
    <xf numFmtId="0" fontId="17" fillId="0" borderId="4" xfId="1" applyBorder="1" applyAlignment="1" applyProtection="1">
      <alignment vertical="center"/>
    </xf>
    <xf numFmtId="0" fontId="0" fillId="0" borderId="34" xfId="0" applyBorder="1" applyAlignment="1">
      <alignment vertical="center"/>
    </xf>
    <xf numFmtId="0" fontId="0" fillId="0" borderId="25" xfId="0" applyBorder="1" applyAlignment="1">
      <alignment vertical="center"/>
    </xf>
    <xf numFmtId="3" fontId="0" fillId="0" borderId="34" xfId="0" applyNumberFormat="1" applyBorder="1" applyAlignment="1">
      <alignment vertical="center"/>
    </xf>
    <xf numFmtId="0" fontId="2" fillId="0" borderId="76" xfId="0" applyFont="1" applyBorder="1" applyAlignment="1">
      <alignment vertical="center"/>
    </xf>
    <xf numFmtId="0" fontId="2" fillId="0" borderId="43" xfId="0" applyFont="1" applyBorder="1" applyAlignment="1">
      <alignment vertical="center"/>
    </xf>
    <xf numFmtId="3" fontId="54" fillId="0" borderId="53" xfId="0" applyNumberFormat="1" applyFont="1" applyBorder="1" applyAlignment="1">
      <alignment vertical="center"/>
    </xf>
    <xf numFmtId="0" fontId="2" fillId="0" borderId="67" xfId="0" applyFont="1" applyBorder="1" applyAlignment="1">
      <alignment vertical="center"/>
    </xf>
    <xf numFmtId="0" fontId="16" fillId="0" borderId="0" xfId="0" applyFont="1" applyAlignment="1">
      <alignment vertical="top"/>
    </xf>
    <xf numFmtId="0" fontId="55" fillId="0" borderId="0" xfId="0" applyFont="1" applyAlignment="1">
      <alignment horizontal="left" vertical="center"/>
    </xf>
    <xf numFmtId="0" fontId="55" fillId="0" borderId="0" xfId="0" applyFont="1" applyAlignment="1">
      <alignment vertical="center"/>
    </xf>
    <xf numFmtId="0" fontId="55" fillId="0" borderId="0" xfId="0" applyFont="1" applyAlignment="1">
      <alignment horizontal="left"/>
    </xf>
    <xf numFmtId="0" fontId="17" fillId="0" borderId="0" xfId="1" applyAlignment="1" applyProtection="1"/>
    <xf numFmtId="0" fontId="17" fillId="0" borderId="0" xfId="1" applyAlignment="1" applyProtection="1">
      <alignment horizontal="right" vertical="top"/>
    </xf>
    <xf numFmtId="0" fontId="32" fillId="0" borderId="0" xfId="0" applyFont="1" applyAlignment="1">
      <alignment vertical="top"/>
    </xf>
    <xf numFmtId="0" fontId="57" fillId="0" borderId="27" xfId="0" applyFont="1" applyBorder="1" applyAlignment="1">
      <alignment horizontal="center" vertical="center" wrapText="1"/>
    </xf>
    <xf numFmtId="0" fontId="57" fillId="0" borderId="81"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82" xfId="0" applyFont="1" applyBorder="1" applyAlignment="1">
      <alignment horizontal="center" vertical="center" wrapText="1"/>
    </xf>
    <xf numFmtId="0" fontId="57" fillId="0" borderId="83" xfId="0" applyFont="1" applyBorder="1" applyAlignment="1">
      <alignment horizontal="center" vertical="center" wrapText="1"/>
    </xf>
    <xf numFmtId="0" fontId="57" fillId="0" borderId="34" xfId="0" applyFont="1" applyBorder="1" applyAlignment="1">
      <alignment horizontal="center" vertical="center" wrapText="1"/>
    </xf>
    <xf numFmtId="0" fontId="57" fillId="0" borderId="32"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48"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52" xfId="0" applyFont="1" applyBorder="1" applyAlignment="1">
      <alignment horizontal="center" vertical="center" wrapText="1"/>
    </xf>
    <xf numFmtId="0" fontId="57" fillId="0" borderId="84"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86" xfId="0" applyFont="1" applyBorder="1" applyAlignment="1">
      <alignment horizontal="center" vertical="center" wrapText="1"/>
    </xf>
    <xf numFmtId="0" fontId="57" fillId="0" borderId="87" xfId="0" applyFont="1" applyBorder="1" applyAlignment="1">
      <alignment horizontal="center" vertical="center" wrapText="1"/>
    </xf>
    <xf numFmtId="0" fontId="57" fillId="0" borderId="88" xfId="0" applyFont="1" applyBorder="1" applyAlignment="1">
      <alignment horizontal="center" vertical="center" wrapText="1"/>
    </xf>
    <xf numFmtId="0" fontId="57" fillId="0" borderId="89" xfId="0" applyFont="1" applyBorder="1" applyAlignment="1">
      <alignment horizontal="center" vertical="center" wrapText="1"/>
    </xf>
    <xf numFmtId="0" fontId="57" fillId="0" borderId="90" xfId="0" applyFont="1" applyBorder="1" applyAlignment="1">
      <alignment horizontal="center" vertical="center" wrapText="1"/>
    </xf>
    <xf numFmtId="0" fontId="57" fillId="0" borderId="91" xfId="0" applyFont="1" applyBorder="1" applyAlignment="1">
      <alignment horizontal="center" vertical="center" wrapText="1"/>
    </xf>
    <xf numFmtId="0" fontId="57" fillId="0" borderId="92" xfId="0" applyFont="1" applyBorder="1" applyAlignment="1">
      <alignment horizontal="center" vertical="center" wrapText="1"/>
    </xf>
    <xf numFmtId="0" fontId="56" fillId="0" borderId="93" xfId="0" applyFont="1" applyBorder="1" applyAlignment="1">
      <alignment horizontal="center" vertical="center" wrapText="1"/>
    </xf>
    <xf numFmtId="0" fontId="56" fillId="0" borderId="94" xfId="0" applyFont="1" applyBorder="1" applyAlignment="1">
      <alignment horizontal="center" vertical="center" wrapText="1"/>
    </xf>
    <xf numFmtId="0" fontId="56" fillId="0" borderId="95" xfId="0" applyFont="1" applyBorder="1" applyAlignment="1">
      <alignment horizontal="center" vertical="center" wrapText="1"/>
    </xf>
    <xf numFmtId="0" fontId="56" fillId="0" borderId="96" xfId="0" applyFont="1" applyBorder="1" applyAlignment="1">
      <alignment horizontal="center" vertical="center" wrapText="1"/>
    </xf>
    <xf numFmtId="0" fontId="56" fillId="0" borderId="97" xfId="0" applyFont="1" applyBorder="1" applyAlignment="1">
      <alignment horizontal="center" vertical="center" wrapText="1"/>
    </xf>
    <xf numFmtId="178" fontId="0" fillId="0" borderId="28" xfId="0" applyNumberFormat="1" applyBorder="1"/>
    <xf numFmtId="0" fontId="58" fillId="0" borderId="0" xfId="0" applyFont="1"/>
    <xf numFmtId="181" fontId="0" fillId="0" borderId="0" xfId="0" applyNumberFormat="1"/>
    <xf numFmtId="178" fontId="0" fillId="0" borderId="0" xfId="0" applyNumberFormat="1"/>
    <xf numFmtId="3" fontId="1" fillId="0" borderId="9" xfId="0" applyNumberFormat="1" applyFont="1" applyBorder="1" applyAlignment="1">
      <alignment horizontal="center"/>
    </xf>
    <xf numFmtId="3" fontId="1" fillId="0" borderId="8" xfId="0" applyNumberFormat="1" applyFont="1" applyBorder="1" applyAlignment="1">
      <alignment horizontal="center"/>
    </xf>
    <xf numFmtId="0" fontId="13" fillId="0" borderId="0" xfId="0" applyFont="1"/>
    <xf numFmtId="171" fontId="13" fillId="0" borderId="0" xfId="0" applyNumberFormat="1" applyFont="1" applyAlignment="1">
      <alignment horizontal="center"/>
    </xf>
    <xf numFmtId="171" fontId="13" fillId="0" borderId="0" xfId="0" applyNumberFormat="1" applyFont="1"/>
    <xf numFmtId="0" fontId="5" fillId="9" borderId="71" xfId="0" applyFont="1" applyFill="1" applyBorder="1" applyAlignment="1">
      <alignment horizontal="center" vertical="top" wrapText="1"/>
    </xf>
    <xf numFmtId="0" fontId="5" fillId="9" borderId="13" xfId="0" applyFont="1" applyFill="1" applyBorder="1" applyAlignment="1">
      <alignment horizontal="center" vertical="top" wrapText="1"/>
    </xf>
    <xf numFmtId="0" fontId="5" fillId="9" borderId="60" xfId="0" applyFont="1" applyFill="1" applyBorder="1" applyAlignment="1">
      <alignment horizontal="center" vertical="top" wrapText="1"/>
    </xf>
    <xf numFmtId="0" fontId="15" fillId="9" borderId="31" xfId="0" applyFont="1" applyFill="1" applyBorder="1" applyAlignment="1">
      <alignment horizontal="center" vertical="top" wrapText="1"/>
    </xf>
    <xf numFmtId="0" fontId="0" fillId="0" borderId="7" xfId="0" applyBorder="1" applyAlignment="1">
      <alignment horizontal="center"/>
    </xf>
    <xf numFmtId="0" fontId="0" fillId="0" borderId="19" xfId="0" applyBorder="1" applyAlignment="1">
      <alignment horizontal="center"/>
    </xf>
    <xf numFmtId="0" fontId="5" fillId="9" borderId="37" xfId="0" applyFont="1" applyFill="1" applyBorder="1" applyAlignment="1">
      <alignment horizontal="center" vertical="top" wrapText="1"/>
    </xf>
    <xf numFmtId="0" fontId="5" fillId="9" borderId="36" xfId="0" applyFont="1" applyFill="1" applyBorder="1" applyAlignment="1">
      <alignment horizontal="center" vertical="top" wrapText="1"/>
    </xf>
    <xf numFmtId="0" fontId="5" fillId="9" borderId="19" xfId="0" applyFont="1" applyFill="1" applyBorder="1" applyAlignment="1">
      <alignment horizontal="center" vertical="top" wrapText="1"/>
    </xf>
    <xf numFmtId="0" fontId="5" fillId="9" borderId="27" xfId="0" applyFont="1" applyFill="1" applyBorder="1" applyAlignment="1">
      <alignment horizontal="center" vertical="top" wrapText="1"/>
    </xf>
    <xf numFmtId="0" fontId="59" fillId="0" borderId="0" xfId="0" applyFont="1"/>
    <xf numFmtId="0" fontId="11" fillId="0" borderId="5" xfId="0" applyFont="1" applyBorder="1" applyAlignment="1">
      <alignment horizontal="center" wrapText="1"/>
    </xf>
    <xf numFmtId="171" fontId="0" fillId="0" borderId="37" xfId="0" applyNumberFormat="1" applyBorder="1" applyAlignment="1">
      <alignment horizontal="center"/>
    </xf>
    <xf numFmtId="171" fontId="0" fillId="0" borderId="7" xfId="0" applyNumberFormat="1" applyBorder="1" applyAlignment="1">
      <alignment horizontal="center"/>
    </xf>
    <xf numFmtId="171" fontId="0" fillId="0" borderId="19" xfId="0" applyNumberFormat="1" applyBorder="1" applyAlignment="1">
      <alignment horizontal="center"/>
    </xf>
    <xf numFmtId="3" fontId="5" fillId="0" borderId="29" xfId="0" applyNumberFormat="1" applyFont="1" applyBorder="1" applyAlignment="1">
      <alignment horizontal="center"/>
    </xf>
    <xf numFmtId="3" fontId="5" fillId="0" borderId="0" xfId="0" applyNumberFormat="1" applyFont="1" applyAlignment="1">
      <alignment horizontal="center"/>
    </xf>
    <xf numFmtId="0" fontId="15" fillId="9" borderId="72" xfId="0" applyFont="1" applyFill="1" applyBorder="1" applyAlignment="1">
      <alignment horizontal="center" vertical="top" wrapText="1"/>
    </xf>
    <xf numFmtId="169" fontId="16" fillId="0" borderId="0" xfId="2" applyNumberFormat="1" applyFont="1" applyBorder="1"/>
    <xf numFmtId="3" fontId="5" fillId="0" borderId="3" xfId="0" applyNumberFormat="1" applyFont="1" applyBorder="1" applyAlignment="1">
      <alignment horizontal="center"/>
    </xf>
    <xf numFmtId="169" fontId="16" fillId="0" borderId="5" xfId="2" applyNumberFormat="1" applyFont="1" applyBorder="1" applyAlignment="1">
      <alignment horizontal="center" vertical="center"/>
    </xf>
    <xf numFmtId="169" fontId="16" fillId="0" borderId="22" xfId="0" applyNumberFormat="1" applyFont="1" applyBorder="1"/>
    <xf numFmtId="169" fontId="16" fillId="0" borderId="65" xfId="0" applyNumberFormat="1" applyFont="1" applyBorder="1"/>
    <xf numFmtId="169" fontId="16" fillId="0" borderId="64" xfId="0" applyNumberFormat="1" applyFont="1" applyBorder="1"/>
    <xf numFmtId="169" fontId="13" fillId="0" borderId="66" xfId="2" applyNumberFormat="1" applyFont="1" applyBorder="1" applyAlignment="1">
      <alignment vertical="center"/>
    </xf>
    <xf numFmtId="3" fontId="21" fillId="0" borderId="0" xfId="0" applyNumberFormat="1" applyFont="1" applyAlignment="1">
      <alignment horizontal="center"/>
    </xf>
    <xf numFmtId="3" fontId="21" fillId="0" borderId="3" xfId="0" applyNumberFormat="1" applyFont="1" applyBorder="1" applyAlignment="1">
      <alignment horizontal="center"/>
    </xf>
    <xf numFmtId="10" fontId="0" fillId="0" borderId="70" xfId="0" applyNumberFormat="1" applyBorder="1" applyAlignment="1">
      <alignment horizontal="center"/>
    </xf>
    <xf numFmtId="10" fontId="0" fillId="0" borderId="9" xfId="0" applyNumberFormat="1" applyBorder="1" applyAlignment="1">
      <alignment horizontal="center"/>
    </xf>
    <xf numFmtId="10" fontId="0" fillId="0" borderId="71" xfId="0" applyNumberFormat="1" applyBorder="1" applyAlignment="1">
      <alignment horizontal="center"/>
    </xf>
    <xf numFmtId="169" fontId="0" fillId="0" borderId="0" xfId="2" applyNumberFormat="1" applyFont="1" applyBorder="1" applyAlignment="1">
      <alignment horizontal="center"/>
    </xf>
    <xf numFmtId="0" fontId="14" fillId="9" borderId="76" xfId="0" applyFont="1" applyFill="1" applyBorder="1" applyAlignment="1">
      <alignment vertical="center"/>
    </xf>
    <xf numFmtId="0" fontId="14" fillId="9" borderId="72" xfId="0" applyFont="1" applyFill="1" applyBorder="1" applyAlignment="1">
      <alignment vertical="center"/>
    </xf>
    <xf numFmtId="10" fontId="60" fillId="0" borderId="71" xfId="2" applyNumberFormat="1" applyFont="1" applyBorder="1"/>
    <xf numFmtId="10" fontId="60" fillId="0" borderId="12" xfId="2" applyNumberFormat="1" applyFont="1" applyBorder="1"/>
    <xf numFmtId="10" fontId="60" fillId="0" borderId="13" xfId="2" applyNumberFormat="1" applyFont="1" applyBorder="1"/>
    <xf numFmtId="10" fontId="60" fillId="0" borderId="59" xfId="2" applyNumberFormat="1" applyFont="1" applyBorder="1"/>
    <xf numFmtId="10" fontId="0" fillId="0" borderId="19" xfId="0" applyNumberFormat="1" applyBorder="1" applyAlignment="1">
      <alignment vertical="center"/>
    </xf>
    <xf numFmtId="10" fontId="0" fillId="0" borderId="37" xfId="0" applyNumberFormat="1" applyBorder="1" applyAlignment="1">
      <alignment vertical="center"/>
    </xf>
    <xf numFmtId="10" fontId="5" fillId="0" borderId="1" xfId="0" applyNumberFormat="1" applyFont="1" applyBorder="1" applyAlignment="1">
      <alignment vertical="center"/>
    </xf>
    <xf numFmtId="0" fontId="0" fillId="0" borderId="45" xfId="0" applyBorder="1"/>
    <xf numFmtId="183" fontId="7" fillId="0" borderId="0" xfId="7" applyNumberFormat="1" applyFont="1" applyFill="1" applyBorder="1">
      <protection locked="0"/>
    </xf>
    <xf numFmtId="183" fontId="5" fillId="0" borderId="0" xfId="0" applyNumberFormat="1" applyFont="1" applyAlignment="1">
      <alignment horizontal="center"/>
    </xf>
    <xf numFmtId="169" fontId="5" fillId="0" borderId="0" xfId="2" applyNumberFormat="1" applyFont="1" applyFill="1" applyBorder="1" applyAlignment="1">
      <alignment horizontal="center"/>
    </xf>
    <xf numFmtId="169" fontId="0" fillId="0" borderId="48" xfId="0" applyNumberFormat="1" applyBorder="1"/>
    <xf numFmtId="169" fontId="0" fillId="0" borderId="73" xfId="0" applyNumberFormat="1" applyBorder="1"/>
    <xf numFmtId="182" fontId="5" fillId="0" borderId="0" xfId="0" applyNumberFormat="1" applyFont="1" applyAlignment="1">
      <alignment horizontal="center"/>
    </xf>
    <xf numFmtId="164" fontId="5" fillId="9" borderId="10" xfId="0" applyNumberFormat="1" applyFont="1" applyFill="1" applyBorder="1" applyAlignment="1">
      <alignment vertical="top"/>
    </xf>
    <xf numFmtId="164" fontId="5" fillId="9" borderId="68" xfId="0" applyNumberFormat="1" applyFont="1" applyFill="1" applyBorder="1" applyAlignment="1">
      <alignment vertical="top"/>
    </xf>
    <xf numFmtId="164" fontId="5" fillId="9" borderId="39" xfId="0" applyNumberFormat="1" applyFont="1" applyFill="1" applyBorder="1" applyAlignment="1">
      <alignment vertical="top"/>
    </xf>
    <xf numFmtId="164" fontId="5" fillId="9" borderId="79" xfId="0" applyNumberFormat="1" applyFont="1" applyFill="1" applyBorder="1" applyAlignment="1">
      <alignment vertical="top"/>
    </xf>
    <xf numFmtId="0" fontId="5" fillId="9" borderId="10" xfId="0" applyFont="1" applyFill="1" applyBorder="1" applyAlignment="1">
      <alignment horizontal="center" wrapText="1"/>
    </xf>
    <xf numFmtId="169" fontId="45" fillId="0" borderId="35" xfId="2" applyNumberFormat="1" applyFont="1" applyBorder="1"/>
    <xf numFmtId="3" fontId="40" fillId="0" borderId="25" xfId="0" applyNumberFormat="1" applyFont="1" applyBorder="1"/>
    <xf numFmtId="3" fontId="6" fillId="0" borderId="37" xfId="0" applyNumberFormat="1" applyFont="1" applyBorder="1"/>
    <xf numFmtId="3" fontId="6" fillId="0" borderId="42" xfId="0" applyNumberFormat="1" applyFont="1" applyBorder="1"/>
    <xf numFmtId="3" fontId="6" fillId="0" borderId="52" xfId="0" applyNumberFormat="1" applyFont="1" applyBorder="1"/>
    <xf numFmtId="176" fontId="0" fillId="0" borderId="0" xfId="0" applyNumberFormat="1"/>
    <xf numFmtId="9" fontId="16" fillId="0" borderId="0" xfId="0" applyNumberFormat="1" applyFont="1"/>
    <xf numFmtId="3" fontId="0" fillId="0" borderId="98" xfId="0" applyNumberFormat="1" applyBorder="1"/>
    <xf numFmtId="10" fontId="60" fillId="0" borderId="74" xfId="2" applyNumberFormat="1" applyFont="1" applyBorder="1"/>
    <xf numFmtId="10" fontId="28" fillId="0" borderId="0" xfId="0" applyNumberFormat="1" applyFont="1"/>
    <xf numFmtId="10" fontId="60" fillId="0" borderId="3" xfId="2" applyNumberFormat="1" applyFont="1" applyBorder="1"/>
    <xf numFmtId="0" fontId="60" fillId="0" borderId="17" xfId="0" applyFont="1" applyBorder="1"/>
    <xf numFmtId="10" fontId="60" fillId="0" borderId="27" xfId="2" applyNumberFormat="1" applyFont="1" applyBorder="1"/>
    <xf numFmtId="10" fontId="60" fillId="0" borderId="19" xfId="2" applyNumberFormat="1" applyFont="1" applyBorder="1"/>
    <xf numFmtId="10" fontId="60" fillId="0" borderId="50" xfId="2" applyNumberFormat="1" applyFont="1" applyBorder="1"/>
    <xf numFmtId="10" fontId="60" fillId="0" borderId="18" xfId="2" applyNumberFormat="1" applyFont="1" applyBorder="1"/>
    <xf numFmtId="10" fontId="60" fillId="0" borderId="20" xfId="2" applyNumberFormat="1" applyFont="1" applyBorder="1"/>
    <xf numFmtId="0" fontId="5" fillId="0" borderId="21" xfId="0" applyFont="1" applyBorder="1"/>
    <xf numFmtId="3" fontId="5" fillId="0" borderId="22" xfId="0" applyNumberFormat="1" applyFont="1" applyBorder="1"/>
    <xf numFmtId="3" fontId="5" fillId="0" borderId="24" xfId="0" applyNumberFormat="1" applyFont="1" applyBorder="1"/>
    <xf numFmtId="2" fontId="0" fillId="0" borderId="9" xfId="0" applyNumberFormat="1" applyBorder="1"/>
    <xf numFmtId="2" fontId="0" fillId="0" borderId="8" xfId="0" applyNumberFormat="1" applyBorder="1"/>
    <xf numFmtId="0" fontId="5" fillId="0" borderId="55" xfId="0" applyFont="1" applyBorder="1"/>
    <xf numFmtId="3" fontId="5" fillId="0" borderId="70" xfId="0" applyNumberFormat="1" applyFont="1" applyBorder="1"/>
    <xf numFmtId="3" fontId="5" fillId="0" borderId="56" xfId="0" applyNumberFormat="1" applyFont="1" applyBorder="1"/>
    <xf numFmtId="3" fontId="5" fillId="0" borderId="80" xfId="0" applyNumberFormat="1" applyFont="1" applyBorder="1"/>
    <xf numFmtId="0" fontId="28" fillId="0" borderId="10" xfId="0" applyFont="1" applyBorder="1"/>
    <xf numFmtId="3" fontId="28" fillId="0" borderId="68" xfId="0" applyNumberFormat="1" applyFont="1" applyBorder="1"/>
    <xf numFmtId="3" fontId="28" fillId="0" borderId="39" xfId="0" applyNumberFormat="1" applyFont="1" applyBorder="1"/>
    <xf numFmtId="3" fontId="28" fillId="0" borderId="79" xfId="0" applyNumberFormat="1" applyFont="1" applyBorder="1"/>
    <xf numFmtId="3" fontId="0" fillId="0" borderId="36" xfId="0" applyNumberFormat="1" applyBorder="1"/>
    <xf numFmtId="3" fontId="0" fillId="0" borderId="48" xfId="0" applyNumberFormat="1" applyBorder="1"/>
    <xf numFmtId="0" fontId="36" fillId="9" borderId="68" xfId="0" applyFont="1" applyFill="1" applyBorder="1" applyAlignment="1">
      <alignment horizontal="center" wrapText="1"/>
    </xf>
    <xf numFmtId="3" fontId="5" fillId="0" borderId="58" xfId="0" applyNumberFormat="1" applyFont="1" applyBorder="1"/>
    <xf numFmtId="3" fontId="5" fillId="0" borderId="98" xfId="0" applyNumberFormat="1" applyFont="1" applyBorder="1"/>
    <xf numFmtId="10" fontId="60" fillId="0" borderId="71" xfId="2" applyNumberFormat="1" applyFont="1" applyBorder="1" applyAlignment="1">
      <alignment horizontal="center"/>
    </xf>
    <xf numFmtId="2" fontId="0" fillId="0" borderId="9" xfId="0" applyNumberFormat="1" applyBorder="1" applyAlignment="1">
      <alignment horizontal="center"/>
    </xf>
    <xf numFmtId="3" fontId="5" fillId="0" borderId="51" xfId="0" applyNumberFormat="1" applyFont="1" applyBorder="1"/>
    <xf numFmtId="3" fontId="5" fillId="0" borderId="40" xfId="0" applyNumberFormat="1" applyFont="1" applyBorder="1"/>
    <xf numFmtId="3" fontId="5" fillId="0" borderId="41" xfId="0" applyNumberFormat="1" applyFont="1" applyBorder="1"/>
    <xf numFmtId="169" fontId="0" fillId="0" borderId="80" xfId="2" applyNumberFormat="1" applyFont="1" applyBorder="1"/>
    <xf numFmtId="169" fontId="0" fillId="0" borderId="13" xfId="2" applyNumberFormat="1" applyFont="1" applyBorder="1"/>
    <xf numFmtId="0" fontId="0" fillId="0" borderId="71" xfId="0" applyBorder="1" applyAlignment="1">
      <alignment horizontal="center"/>
    </xf>
    <xf numFmtId="0" fontId="16" fillId="0" borderId="34" xfId="0" applyFont="1" applyBorder="1"/>
    <xf numFmtId="167" fontId="18" fillId="0" borderId="9" xfId="7" applyFont="1" applyFill="1" applyBorder="1">
      <protection locked="0"/>
    </xf>
    <xf numFmtId="0" fontId="5" fillId="9" borderId="10" xfId="0" applyFont="1" applyFill="1" applyBorder="1" applyAlignment="1">
      <alignment vertical="center"/>
    </xf>
    <xf numFmtId="0" fontId="62" fillId="0" borderId="0" xfId="0" applyFont="1"/>
    <xf numFmtId="0" fontId="36" fillId="9" borderId="67" xfId="0" applyFont="1" applyFill="1" applyBorder="1" applyAlignment="1">
      <alignment horizontal="center" wrapText="1"/>
    </xf>
    <xf numFmtId="169" fontId="0" fillId="0" borderId="31" xfId="2" applyNumberFormat="1" applyFont="1" applyBorder="1" applyAlignment="1">
      <alignment horizontal="center"/>
    </xf>
    <xf numFmtId="0" fontId="36" fillId="9" borderId="39" xfId="0" applyFont="1" applyFill="1" applyBorder="1" applyAlignment="1">
      <alignment horizontal="center" wrapText="1"/>
    </xf>
    <xf numFmtId="169" fontId="0" fillId="0" borderId="12" xfId="2" applyNumberFormat="1" applyFont="1" applyBorder="1" applyAlignment="1">
      <alignment horizontal="center"/>
    </xf>
    <xf numFmtId="172" fontId="40" fillId="0" borderId="26" xfId="0" applyNumberFormat="1" applyFont="1" applyBorder="1"/>
    <xf numFmtId="10" fontId="63" fillId="0" borderId="0" xfId="0" applyNumberFormat="1" applyFont="1"/>
    <xf numFmtId="0" fontId="5" fillId="9" borderId="1" xfId="0" applyFont="1" applyFill="1" applyBorder="1" applyAlignment="1">
      <alignment horizontal="center" vertical="top" wrapText="1"/>
    </xf>
    <xf numFmtId="0" fontId="6" fillId="0" borderId="6" xfId="0" applyFont="1" applyBorder="1"/>
    <xf numFmtId="3" fontId="6" fillId="0" borderId="6" xfId="0" applyNumberFormat="1" applyFont="1" applyBorder="1"/>
    <xf numFmtId="3" fontId="6" fillId="0" borderId="26" xfId="0" applyNumberFormat="1" applyFont="1" applyBorder="1"/>
    <xf numFmtId="3" fontId="6" fillId="0" borderId="7" xfId="0" applyNumberFormat="1" applyFont="1" applyBorder="1"/>
    <xf numFmtId="3" fontId="6" fillId="0" borderId="8" xfId="0" applyNumberFormat="1" applyFont="1" applyBorder="1"/>
    <xf numFmtId="3" fontId="6" fillId="0" borderId="11" xfId="0" applyNumberFormat="1" applyFont="1" applyBorder="1"/>
    <xf numFmtId="3" fontId="21" fillId="0" borderId="1" xfId="0" applyNumberFormat="1" applyFont="1" applyBorder="1" applyAlignment="1">
      <alignment vertical="center"/>
    </xf>
    <xf numFmtId="2" fontId="0" fillId="0" borderId="37" xfId="0" applyNumberFormat="1" applyBorder="1"/>
    <xf numFmtId="169" fontId="47" fillId="0" borderId="26" xfId="0" applyNumberFormat="1" applyFont="1" applyBorder="1" applyAlignment="1">
      <alignment horizontal="right" vertical="center" wrapText="1"/>
    </xf>
    <xf numFmtId="169" fontId="47" fillId="0" borderId="27" xfId="0" applyNumberFormat="1" applyFont="1" applyBorder="1" applyAlignment="1">
      <alignment horizontal="right" vertical="center" wrapText="1"/>
    </xf>
    <xf numFmtId="9" fontId="0" fillId="0" borderId="1" xfId="0" applyNumberFormat="1" applyBorder="1"/>
    <xf numFmtId="169" fontId="0" fillId="0" borderId="36" xfId="0" applyNumberFormat="1" applyBorder="1"/>
    <xf numFmtId="172" fontId="5" fillId="0" borderId="68" xfId="0" applyNumberFormat="1" applyFont="1" applyBorder="1"/>
    <xf numFmtId="172" fontId="5" fillId="0" borderId="39" xfId="0" applyNumberFormat="1" applyFont="1" applyBorder="1"/>
    <xf numFmtId="172" fontId="5" fillId="0" borderId="79" xfId="0" applyNumberFormat="1" applyFont="1" applyBorder="1"/>
    <xf numFmtId="0" fontId="0" fillId="0" borderId="35" xfId="0" applyBorder="1" applyAlignment="1">
      <alignment vertical="center"/>
    </xf>
    <xf numFmtId="171" fontId="5" fillId="0" borderId="1" xfId="0" applyNumberFormat="1" applyFont="1" applyBorder="1" applyAlignment="1">
      <alignment vertical="center"/>
    </xf>
    <xf numFmtId="170" fontId="0" fillId="0" borderId="48" xfId="0" applyNumberFormat="1" applyBorder="1"/>
    <xf numFmtId="3" fontId="16" fillId="0" borderId="0" xfId="0" applyNumberFormat="1" applyFont="1"/>
    <xf numFmtId="2" fontId="16" fillId="0" borderId="34" xfId="0" applyNumberFormat="1" applyFont="1" applyBorder="1"/>
    <xf numFmtId="164" fontId="65" fillId="0" borderId="54" xfId="6" applyFont="1" applyFill="1" applyBorder="1">
      <alignment horizontal="left"/>
    </xf>
    <xf numFmtId="166" fontId="65" fillId="0" borderId="28" xfId="9" applyFont="1" applyFill="1" applyBorder="1">
      <alignment horizontal="left"/>
    </xf>
    <xf numFmtId="167" fontId="66" fillId="0" borderId="9" xfId="7" applyFont="1" applyFill="1" applyBorder="1">
      <protection locked="0"/>
    </xf>
    <xf numFmtId="167" fontId="66" fillId="0" borderId="7" xfId="7" applyFont="1" applyFill="1" applyBorder="1">
      <protection locked="0"/>
    </xf>
    <xf numFmtId="167" fontId="66" fillId="0" borderId="28" xfId="7" applyFont="1" applyFill="1" applyBorder="1">
      <protection locked="0"/>
    </xf>
    <xf numFmtId="167" fontId="65" fillId="0" borderId="9" xfId="10" applyFont="1" applyFill="1" applyBorder="1"/>
    <xf numFmtId="167" fontId="65" fillId="0" borderId="7" xfId="10" applyFont="1" applyFill="1" applyBorder="1"/>
    <xf numFmtId="167" fontId="65" fillId="0" borderId="28" xfId="10" applyFont="1" applyFill="1" applyBorder="1"/>
    <xf numFmtId="167" fontId="67" fillId="0" borderId="52" xfId="7" applyFont="1" applyFill="1" applyBorder="1">
      <protection locked="0"/>
    </xf>
    <xf numFmtId="167" fontId="67" fillId="0" borderId="37" xfId="7" applyFont="1" applyFill="1" applyBorder="1">
      <protection locked="0"/>
    </xf>
    <xf numFmtId="167" fontId="67" fillId="0" borderId="78" xfId="7" applyFont="1" applyFill="1" applyBorder="1">
      <protection locked="0"/>
    </xf>
    <xf numFmtId="164" fontId="68" fillId="0" borderId="54" xfId="6" applyFont="1" applyFill="1" applyBorder="1">
      <alignment horizontal="left"/>
    </xf>
    <xf numFmtId="166" fontId="68" fillId="0" borderId="28" xfId="9" applyFont="1" applyFill="1" applyBorder="1">
      <alignment horizontal="left"/>
    </xf>
    <xf numFmtId="167" fontId="67" fillId="0" borderId="18" xfId="7" applyFont="1" applyFill="1" applyBorder="1">
      <protection locked="0"/>
    </xf>
    <xf numFmtId="167" fontId="67" fillId="0" borderId="19" xfId="7" applyFont="1" applyFill="1" applyBorder="1">
      <protection locked="0"/>
    </xf>
    <xf numFmtId="167" fontId="67" fillId="0" borderId="57" xfId="7" applyFont="1" applyFill="1" applyBorder="1">
      <protection locked="0"/>
    </xf>
    <xf numFmtId="164" fontId="84" fillId="0" borderId="54" xfId="6" applyFont="1" applyFill="1" applyBorder="1">
      <alignment horizontal="left"/>
    </xf>
    <xf numFmtId="166" fontId="84" fillId="0" borderId="28" xfId="9" applyFont="1" applyFill="1" applyBorder="1">
      <alignment horizontal="left"/>
    </xf>
    <xf numFmtId="167" fontId="84" fillId="0" borderId="9" xfId="7" applyFont="1" applyFill="1" applyBorder="1">
      <protection locked="0"/>
    </xf>
    <xf numFmtId="167" fontId="84" fillId="0" borderId="7" xfId="7" applyFont="1" applyFill="1" applyBorder="1">
      <protection locked="0"/>
    </xf>
    <xf numFmtId="167" fontId="84" fillId="0" borderId="28" xfId="7" applyFont="1" applyFill="1" applyBorder="1">
      <protection locked="0"/>
    </xf>
    <xf numFmtId="164" fontId="84" fillId="0" borderId="63" xfId="6" applyFont="1" applyFill="1" applyBorder="1">
      <alignment horizontal="left"/>
    </xf>
    <xf numFmtId="166" fontId="84" fillId="0" borderId="57" xfId="9" applyFont="1" applyFill="1" applyBorder="1">
      <alignment horizontal="left"/>
    </xf>
    <xf numFmtId="167" fontId="84" fillId="0" borderId="18" xfId="7" applyFont="1" applyFill="1" applyBorder="1">
      <protection locked="0"/>
    </xf>
    <xf numFmtId="167" fontId="84" fillId="0" borderId="19" xfId="7" applyFont="1" applyFill="1" applyBorder="1">
      <protection locked="0"/>
    </xf>
    <xf numFmtId="167" fontId="84" fillId="0" borderId="57" xfId="7" applyFont="1" applyFill="1" applyBorder="1">
      <protection locked="0"/>
    </xf>
    <xf numFmtId="169" fontId="6" fillId="0" borderId="26" xfId="2" applyNumberFormat="1" applyFont="1" applyFill="1" applyBorder="1"/>
    <xf numFmtId="169" fontId="25" fillId="0" borderId="68" xfId="2" applyNumberFormat="1" applyFont="1" applyFill="1" applyBorder="1" applyProtection="1">
      <protection locked="0"/>
    </xf>
    <xf numFmtId="169" fontId="25" fillId="0" borderId="39" xfId="2" applyNumberFormat="1" applyFont="1" applyFill="1" applyBorder="1" applyProtection="1">
      <protection locked="0"/>
    </xf>
    <xf numFmtId="169" fontId="25" fillId="0" borderId="79" xfId="2" applyNumberFormat="1" applyFont="1" applyFill="1" applyBorder="1" applyProtection="1">
      <protection locked="0"/>
    </xf>
    <xf numFmtId="164" fontId="84" fillId="0" borderId="0" xfId="6" applyFont="1" applyFill="1" applyBorder="1">
      <alignment horizontal="left"/>
    </xf>
    <xf numFmtId="179" fontId="84" fillId="0" borderId="9" xfId="7" applyNumberFormat="1" applyFont="1" applyFill="1" applyBorder="1">
      <protection locked="0"/>
    </xf>
    <xf numFmtId="179" fontId="84" fillId="0" borderId="7" xfId="7" applyNumberFormat="1" applyFont="1" applyFill="1" applyBorder="1">
      <protection locked="0"/>
    </xf>
    <xf numFmtId="179" fontId="84" fillId="0" borderId="26" xfId="7" applyNumberFormat="1" applyFont="1" applyFill="1" applyBorder="1">
      <protection locked="0"/>
    </xf>
    <xf numFmtId="179" fontId="84" fillId="0" borderId="28" xfId="7" applyNumberFormat="1" applyFont="1" applyFill="1" applyBorder="1">
      <protection locked="0"/>
    </xf>
    <xf numFmtId="164" fontId="84" fillId="0" borderId="4" xfId="6" applyFont="1" applyFill="1" applyBorder="1">
      <alignment horizontal="left"/>
    </xf>
    <xf numFmtId="179" fontId="84" fillId="0" borderId="18" xfId="7" applyNumberFormat="1" applyFont="1" applyFill="1" applyBorder="1">
      <protection locked="0"/>
    </xf>
    <xf numFmtId="179" fontId="84" fillId="0" borderId="19" xfId="7" applyNumberFormat="1" applyFont="1" applyFill="1" applyBorder="1">
      <protection locked="0"/>
    </xf>
    <xf numFmtId="179" fontId="84" fillId="0" borderId="27" xfId="7" applyNumberFormat="1" applyFont="1" applyFill="1" applyBorder="1">
      <protection locked="0"/>
    </xf>
    <xf numFmtId="179" fontId="84" fillId="0" borderId="57" xfId="7" applyNumberFormat="1" applyFont="1" applyFill="1" applyBorder="1">
      <protection locked="0"/>
    </xf>
    <xf numFmtId="166" fontId="6" fillId="0" borderId="69" xfId="9" applyFont="1" applyFill="1" applyBorder="1">
      <alignment horizontal="left"/>
    </xf>
    <xf numFmtId="179" fontId="7" fillId="0" borderId="51" xfId="7" applyNumberFormat="1" applyFont="1" applyFill="1" applyBorder="1">
      <protection locked="0"/>
    </xf>
    <xf numFmtId="179" fontId="7" fillId="0" borderId="40" xfId="7" applyNumberFormat="1" applyFont="1" applyFill="1" applyBorder="1">
      <protection locked="0"/>
    </xf>
    <xf numFmtId="179" fontId="7" fillId="0" borderId="44" xfId="7" applyNumberFormat="1" applyFont="1" applyFill="1" applyBorder="1">
      <protection locked="0"/>
    </xf>
    <xf numFmtId="179" fontId="7" fillId="0" borderId="69" xfId="7" applyNumberFormat="1" applyFont="1" applyFill="1" applyBorder="1">
      <protection locked="0"/>
    </xf>
    <xf numFmtId="164" fontId="5" fillId="0" borderId="75" xfId="5" applyFont="1" applyFill="1" applyBorder="1">
      <alignment horizontal="left"/>
    </xf>
    <xf numFmtId="164" fontId="5" fillId="0" borderId="29" xfId="5" applyFont="1" applyFill="1" applyBorder="1">
      <alignment horizontal="left"/>
    </xf>
    <xf numFmtId="166" fontId="5" fillId="0" borderId="30" xfId="8" applyFont="1" applyFill="1" applyBorder="1">
      <alignment horizontal="left"/>
    </xf>
    <xf numFmtId="179" fontId="5" fillId="0" borderId="70" xfId="10" applyNumberFormat="1" applyFont="1" applyFill="1" applyBorder="1"/>
    <xf numFmtId="179" fontId="5" fillId="0" borderId="58" xfId="10" applyNumberFormat="1" applyFont="1" applyFill="1" applyBorder="1"/>
    <xf numFmtId="179" fontId="5" fillId="0" borderId="30" xfId="10" applyNumberFormat="1" applyFont="1" applyFill="1" applyBorder="1"/>
    <xf numFmtId="164" fontId="38" fillId="0" borderId="60" xfId="5" applyFont="1" applyFill="1" applyBorder="1">
      <alignment horizontal="left"/>
    </xf>
    <xf numFmtId="164" fontId="38" fillId="0" borderId="3" xfId="5" applyFont="1" applyFill="1" applyBorder="1">
      <alignment horizontal="left"/>
    </xf>
    <xf numFmtId="166" fontId="38" fillId="0" borderId="31" xfId="8" applyFont="1" applyFill="1" applyBorder="1">
      <alignment horizontal="left"/>
    </xf>
    <xf numFmtId="179" fontId="38" fillId="0" borderId="71" xfId="10" applyNumberFormat="1" applyFont="1" applyFill="1" applyBorder="1"/>
    <xf numFmtId="179" fontId="38" fillId="0" borderId="12" xfId="10" applyNumberFormat="1" applyFont="1" applyFill="1" applyBorder="1"/>
    <xf numFmtId="179" fontId="38" fillId="0" borderId="13" xfId="10" applyNumberFormat="1" applyFont="1" applyFill="1" applyBorder="1"/>
    <xf numFmtId="169" fontId="7" fillId="0" borderId="51" xfId="2" applyNumberFormat="1" applyFont="1" applyFill="1" applyBorder="1" applyProtection="1">
      <protection locked="0"/>
    </xf>
    <xf numFmtId="169" fontId="7" fillId="0" borderId="40" xfId="2" applyNumberFormat="1" applyFont="1" applyFill="1" applyBorder="1" applyProtection="1">
      <protection locked="0"/>
    </xf>
    <xf numFmtId="169" fontId="7" fillId="0" borderId="41" xfId="2" applyNumberFormat="1" applyFont="1" applyFill="1" applyBorder="1" applyProtection="1">
      <protection locked="0"/>
    </xf>
    <xf numFmtId="169" fontId="84" fillId="0" borderId="9" xfId="2" applyNumberFormat="1" applyFont="1" applyFill="1" applyBorder="1" applyProtection="1">
      <protection locked="0"/>
    </xf>
    <xf numFmtId="169" fontId="84" fillId="0" borderId="7" xfId="2" applyNumberFormat="1" applyFont="1" applyFill="1" applyBorder="1" applyProtection="1">
      <protection locked="0"/>
    </xf>
    <xf numFmtId="169" fontId="84" fillId="0" borderId="8" xfId="2" applyNumberFormat="1" applyFont="1" applyFill="1" applyBorder="1" applyProtection="1">
      <protection locked="0"/>
    </xf>
    <xf numFmtId="169" fontId="84" fillId="0" borderId="18" xfId="2" applyNumberFormat="1" applyFont="1" applyFill="1" applyBorder="1" applyProtection="1">
      <protection locked="0"/>
    </xf>
    <xf numFmtId="169" fontId="84" fillId="0" borderId="19" xfId="2" applyNumberFormat="1" applyFont="1" applyFill="1" applyBorder="1" applyProtection="1">
      <protection locked="0"/>
    </xf>
    <xf numFmtId="169" fontId="84" fillId="0" borderId="20" xfId="2" applyNumberFormat="1" applyFont="1" applyFill="1" applyBorder="1" applyProtection="1">
      <protection locked="0"/>
    </xf>
    <xf numFmtId="0" fontId="6" fillId="0" borderId="4" xfId="0" applyFont="1" applyBorder="1"/>
    <xf numFmtId="164" fontId="5" fillId="0" borderId="33" xfId="5" applyFont="1" applyFill="1" applyBorder="1">
      <alignment horizontal="left"/>
    </xf>
    <xf numFmtId="164" fontId="5" fillId="0" borderId="5" xfId="5" applyFont="1" applyFill="1" applyBorder="1">
      <alignment horizontal="left"/>
    </xf>
    <xf numFmtId="166" fontId="5" fillId="0" borderId="69" xfId="8" applyFont="1" applyFill="1" applyBorder="1">
      <alignment horizontal="left"/>
    </xf>
    <xf numFmtId="179" fontId="5" fillId="0" borderId="51" xfId="10" applyNumberFormat="1" applyFont="1" applyFill="1" applyBorder="1"/>
    <xf numFmtId="169" fontId="5" fillId="0" borderId="51" xfId="2" applyNumberFormat="1" applyFont="1" applyFill="1" applyBorder="1"/>
    <xf numFmtId="169" fontId="5" fillId="0" borderId="40" xfId="2" applyNumberFormat="1" applyFont="1" applyFill="1" applyBorder="1"/>
    <xf numFmtId="169" fontId="5" fillId="0" borderId="41" xfId="2" applyNumberFormat="1" applyFont="1" applyFill="1" applyBorder="1"/>
    <xf numFmtId="169" fontId="5" fillId="0" borderId="70" xfId="2" applyNumberFormat="1" applyFont="1" applyFill="1" applyBorder="1"/>
    <xf numFmtId="169" fontId="5" fillId="0" borderId="56" xfId="2" applyNumberFormat="1" applyFont="1" applyFill="1" applyBorder="1"/>
    <xf numFmtId="169" fontId="5" fillId="0" borderId="80" xfId="2" applyNumberFormat="1" applyFont="1" applyFill="1" applyBorder="1"/>
    <xf numFmtId="169" fontId="38" fillId="0" borderId="71" xfId="2" applyNumberFormat="1" applyFont="1" applyFill="1" applyBorder="1"/>
    <xf numFmtId="169" fontId="38" fillId="0" borderId="12" xfId="2" applyNumberFormat="1" applyFont="1" applyFill="1" applyBorder="1"/>
    <xf numFmtId="169" fontId="38" fillId="0" borderId="13" xfId="2" applyNumberFormat="1" applyFont="1" applyFill="1" applyBorder="1"/>
    <xf numFmtId="169" fontId="7" fillId="0" borderId="70" xfId="2" applyNumberFormat="1" applyFont="1" applyFill="1" applyBorder="1" applyProtection="1">
      <protection locked="0"/>
    </xf>
    <xf numFmtId="169" fontId="7" fillId="0" borderId="56" xfId="2" applyNumberFormat="1" applyFont="1" applyFill="1" applyBorder="1" applyProtection="1">
      <protection locked="0"/>
    </xf>
    <xf numFmtId="169" fontId="7" fillId="0" borderId="80" xfId="2" applyNumberFormat="1" applyFont="1" applyFill="1" applyBorder="1" applyProtection="1">
      <protection locked="0"/>
    </xf>
    <xf numFmtId="169" fontId="7" fillId="0" borderId="52" xfId="2" applyNumberFormat="1" applyFont="1" applyFill="1" applyBorder="1" applyProtection="1">
      <protection locked="0"/>
    </xf>
    <xf numFmtId="169" fontId="7" fillId="0" borderId="37" xfId="2" applyNumberFormat="1" applyFont="1" applyFill="1" applyBorder="1" applyProtection="1">
      <protection locked="0"/>
    </xf>
    <xf numFmtId="169" fontId="6" fillId="0" borderId="42" xfId="2" applyNumberFormat="1" applyFont="1" applyFill="1" applyBorder="1"/>
    <xf numFmtId="0" fontId="6" fillId="0" borderId="11" xfId="0" applyFont="1" applyBorder="1"/>
    <xf numFmtId="0" fontId="6" fillId="0" borderId="55" xfId="0" applyFont="1" applyBorder="1"/>
    <xf numFmtId="166" fontId="6" fillId="0" borderId="14" xfId="9" applyFont="1" applyFill="1" applyBorder="1">
      <alignment horizontal="left"/>
    </xf>
    <xf numFmtId="174" fontId="7" fillId="0" borderId="14" xfId="7" applyNumberFormat="1" applyFont="1" applyFill="1" applyBorder="1">
      <protection locked="0"/>
    </xf>
    <xf numFmtId="174" fontId="7" fillId="0" borderId="51" xfId="7" applyNumberFormat="1" applyFont="1" applyFill="1" applyBorder="1">
      <protection locked="0"/>
    </xf>
    <xf numFmtId="174" fontId="7" fillId="0" borderId="40" xfId="7" applyNumberFormat="1" applyFont="1" applyFill="1" applyBorder="1">
      <protection locked="0"/>
    </xf>
    <xf numFmtId="174" fontId="7" fillId="0" borderId="69" xfId="7" applyNumberFormat="1" applyFont="1" applyFill="1" applyBorder="1">
      <protection locked="0"/>
    </xf>
    <xf numFmtId="166" fontId="72" fillId="0" borderId="17" xfId="9" applyFont="1" applyFill="1" applyBorder="1">
      <alignment horizontal="left"/>
    </xf>
    <xf numFmtId="174" fontId="72" fillId="6" borderId="17" xfId="11" applyNumberFormat="1" applyFont="1" applyBorder="1"/>
    <xf numFmtId="174" fontId="72" fillId="6" borderId="18" xfId="11" applyNumberFormat="1" applyFont="1" applyBorder="1"/>
    <xf numFmtId="174" fontId="72" fillId="6" borderId="27" xfId="11" applyNumberFormat="1" applyFont="1" applyBorder="1"/>
    <xf numFmtId="174" fontId="72" fillId="6" borderId="19" xfId="11" applyNumberFormat="1" applyFont="1" applyBorder="1"/>
    <xf numFmtId="174" fontId="72" fillId="6" borderId="57" xfId="11" applyNumberFormat="1" applyFont="1" applyBorder="1"/>
    <xf numFmtId="167" fontId="18" fillId="0" borderId="52" xfId="7" applyFont="1" applyFill="1" applyBorder="1">
      <protection locked="0"/>
    </xf>
    <xf numFmtId="167" fontId="18" fillId="0" borderId="37" xfId="7" applyFont="1" applyFill="1" applyBorder="1">
      <protection locked="0"/>
    </xf>
    <xf numFmtId="167" fontId="18" fillId="0" borderId="78" xfId="7" applyFont="1" applyFill="1" applyBorder="1">
      <protection locked="0"/>
    </xf>
    <xf numFmtId="167" fontId="18" fillId="0" borderId="18" xfId="7" applyFont="1" applyFill="1" applyBorder="1">
      <protection locked="0"/>
    </xf>
    <xf numFmtId="167" fontId="18" fillId="0" borderId="19" xfId="7" applyFont="1" applyFill="1" applyBorder="1">
      <protection locked="0"/>
    </xf>
    <xf numFmtId="167" fontId="18" fillId="0" borderId="57" xfId="7" applyFont="1" applyFill="1" applyBorder="1">
      <protection locked="0"/>
    </xf>
    <xf numFmtId="167" fontId="5" fillId="0" borderId="32" xfId="10" applyFont="1" applyFill="1" applyBorder="1"/>
    <xf numFmtId="167" fontId="5" fillId="0" borderId="1" xfId="10" applyFont="1" applyFill="1"/>
    <xf numFmtId="167" fontId="5" fillId="0" borderId="62" xfId="10" applyFont="1" applyFill="1" applyBorder="1"/>
    <xf numFmtId="166" fontId="5" fillId="0" borderId="46" xfId="9" applyFont="1" applyFill="1" applyBorder="1">
      <alignment horizontal="left"/>
    </xf>
    <xf numFmtId="174" fontId="18" fillId="0" borderId="46" xfId="7" applyNumberFormat="1" applyFont="1" applyFill="1" applyBorder="1">
      <protection locked="0"/>
    </xf>
    <xf numFmtId="174" fontId="5" fillId="0" borderId="52" xfId="0" applyNumberFormat="1" applyFont="1" applyBorder="1"/>
    <xf numFmtId="174" fontId="5" fillId="0" borderId="36" xfId="0" applyNumberFormat="1" applyFont="1" applyBorder="1"/>
    <xf numFmtId="174" fontId="5" fillId="0" borderId="37" xfId="0" applyNumberFormat="1" applyFont="1" applyBorder="1"/>
    <xf numFmtId="174" fontId="5" fillId="0" borderId="78" xfId="0" applyNumberFormat="1" applyFont="1" applyBorder="1"/>
    <xf numFmtId="174" fontId="18" fillId="0" borderId="17" xfId="7" applyNumberFormat="1" applyFont="1" applyFill="1" applyBorder="1">
      <protection locked="0"/>
    </xf>
    <xf numFmtId="174" fontId="5" fillId="0" borderId="18" xfId="0" applyNumberFormat="1" applyFont="1" applyBorder="1"/>
    <xf numFmtId="174" fontId="5" fillId="0" borderId="27" xfId="0" applyNumberFormat="1" applyFont="1" applyBorder="1"/>
    <xf numFmtId="174" fontId="5" fillId="0" borderId="19" xfId="0" applyNumberFormat="1" applyFont="1" applyBorder="1"/>
    <xf numFmtId="174" fontId="5" fillId="0" borderId="57" xfId="0" applyNumberFormat="1" applyFont="1" applyBorder="1"/>
    <xf numFmtId="3" fontId="5" fillId="0" borderId="10" xfId="0" applyNumberFormat="1" applyFont="1" applyBorder="1"/>
    <xf numFmtId="3" fontId="5" fillId="0" borderId="68" xfId="0" applyNumberFormat="1" applyFont="1" applyBorder="1"/>
    <xf numFmtId="3" fontId="5" fillId="0" borderId="39" xfId="0" applyNumberFormat="1" applyFont="1" applyBorder="1"/>
    <xf numFmtId="3" fontId="5" fillId="0" borderId="79" xfId="0" applyNumberFormat="1" applyFont="1" applyBorder="1"/>
    <xf numFmtId="169" fontId="0" fillId="0" borderId="34" xfId="0" applyNumberFormat="1" applyBorder="1"/>
    <xf numFmtId="179" fontId="5" fillId="0" borderId="40" xfId="10" applyNumberFormat="1" applyFont="1" applyFill="1" applyBorder="1"/>
    <xf numFmtId="169" fontId="12" fillId="0" borderId="65" xfId="2" applyNumberFormat="1" applyFont="1" applyBorder="1" applyAlignment="1">
      <alignment horizontal="center" vertical="center"/>
    </xf>
    <xf numFmtId="3" fontId="0" fillId="0" borderId="62" xfId="0" applyNumberFormat="1" applyBorder="1"/>
    <xf numFmtId="3" fontId="0" fillId="0" borderId="59" xfId="0" applyNumberFormat="1" applyBorder="1"/>
    <xf numFmtId="168" fontId="0" fillId="0" borderId="0" xfId="0" applyNumberFormat="1"/>
    <xf numFmtId="168" fontId="0" fillId="0" borderId="29" xfId="0" applyNumberFormat="1" applyBorder="1"/>
    <xf numFmtId="168" fontId="0" fillId="0" borderId="3" xfId="0" applyNumberFormat="1" applyBorder="1"/>
    <xf numFmtId="3" fontId="6" fillId="0" borderId="70" xfId="0" applyNumberFormat="1" applyFont="1" applyBorder="1" applyAlignment="1">
      <alignment horizontal="center"/>
    </xf>
    <xf numFmtId="3" fontId="6" fillId="0" borderId="80" xfId="0" applyNumberFormat="1" applyFont="1" applyBorder="1" applyAlignment="1">
      <alignment horizontal="center"/>
    </xf>
    <xf numFmtId="3" fontId="6" fillId="0" borderId="9" xfId="0" applyNumberFormat="1" applyFont="1" applyBorder="1" applyAlignment="1">
      <alignment horizontal="center"/>
    </xf>
    <xf numFmtId="3" fontId="6" fillId="0" borderId="8" xfId="0" applyNumberFormat="1" applyFont="1" applyBorder="1" applyAlignment="1">
      <alignment horizontal="center"/>
    </xf>
    <xf numFmtId="10" fontId="0" fillId="0" borderId="0" xfId="0" applyNumberFormat="1" applyAlignment="1">
      <alignment horizontal="center"/>
    </xf>
    <xf numFmtId="169" fontId="8" fillId="0" borderId="0" xfId="2" applyNumberFormat="1" applyFont="1" applyBorder="1"/>
    <xf numFmtId="168" fontId="5" fillId="0" borderId="75" xfId="0" applyNumberFormat="1" applyFont="1" applyBorder="1" applyAlignment="1">
      <alignment horizontal="center"/>
    </xf>
    <xf numFmtId="168" fontId="5" fillId="0" borderId="54" xfId="0" applyNumberFormat="1" applyFont="1" applyBorder="1" applyAlignment="1">
      <alignment horizontal="center"/>
    </xf>
    <xf numFmtId="10" fontId="16" fillId="0" borderId="0" xfId="2" applyNumberFormat="1" applyFont="1" applyFill="1" applyBorder="1"/>
    <xf numFmtId="168" fontId="0" fillId="0" borderId="26" xfId="0" applyNumberFormat="1" applyBorder="1" applyAlignment="1">
      <alignment horizontal="center"/>
    </xf>
    <xf numFmtId="168" fontId="0" fillId="0" borderId="27" xfId="0" applyNumberForma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28" fillId="0" borderId="0" xfId="0" quotePrefix="1" applyFont="1"/>
    <xf numFmtId="0" fontId="12" fillId="0" borderId="5" xfId="0" applyFont="1" applyBorder="1" applyAlignment="1">
      <alignment horizontal="center"/>
    </xf>
    <xf numFmtId="0" fontId="53" fillId="0" borderId="5" xfId="0" applyFont="1" applyBorder="1" applyAlignment="1">
      <alignment horizontal="center" wrapText="1"/>
    </xf>
    <xf numFmtId="168" fontId="0" fillId="0" borderId="37" xfId="0" applyNumberFormat="1" applyBorder="1"/>
    <xf numFmtId="168" fontId="0" fillId="0" borderId="7" xfId="0" applyNumberFormat="1" applyBorder="1"/>
    <xf numFmtId="168" fontId="0" fillId="0" borderId="19" xfId="0" applyNumberFormat="1" applyBorder="1"/>
    <xf numFmtId="0" fontId="73" fillId="0" borderId="5" xfId="0" applyFont="1" applyBorder="1" applyAlignment="1">
      <alignment horizontal="center" wrapText="1"/>
    </xf>
    <xf numFmtId="0" fontId="74" fillId="0" borderId="0" xfId="0" applyFont="1"/>
    <xf numFmtId="0" fontId="74" fillId="0" borderId="3" xfId="0" applyFont="1" applyBorder="1"/>
    <xf numFmtId="0" fontId="0" fillId="0" borderId="37" xfId="0" applyBorder="1" applyAlignment="1">
      <alignment horizontal="center"/>
    </xf>
    <xf numFmtId="168" fontId="6" fillId="0" borderId="75" xfId="0" applyNumberFormat="1" applyFont="1" applyBorder="1" applyAlignment="1">
      <alignment horizontal="center"/>
    </xf>
    <xf numFmtId="168" fontId="6" fillId="0" borderId="54" xfId="0" applyNumberFormat="1" applyFont="1" applyBorder="1" applyAlignment="1">
      <alignment horizontal="center"/>
    </xf>
    <xf numFmtId="10" fontId="53" fillId="0" borderId="0" xfId="2" applyNumberFormat="1" applyFont="1" applyBorder="1"/>
    <xf numFmtId="168" fontId="0" fillId="0" borderId="29" xfId="0" applyNumberFormat="1" applyBorder="1" applyAlignment="1">
      <alignment horizontal="center"/>
    </xf>
    <xf numFmtId="168" fontId="0" fillId="0" borderId="0" xfId="0" applyNumberFormat="1" applyAlignment="1">
      <alignment horizontal="center"/>
    </xf>
    <xf numFmtId="168" fontId="28" fillId="0" borderId="29" xfId="0" applyNumberFormat="1" applyFont="1" applyBorder="1" applyAlignment="1">
      <alignment horizontal="center"/>
    </xf>
    <xf numFmtId="168" fontId="28" fillId="0" borderId="0" xfId="0" applyNumberFormat="1" applyFont="1" applyAlignment="1">
      <alignment horizontal="center"/>
    </xf>
    <xf numFmtId="169" fontId="53" fillId="0" borderId="28" xfId="2" applyNumberFormat="1" applyFont="1" applyBorder="1"/>
    <xf numFmtId="10" fontId="53" fillId="0" borderId="28" xfId="2" applyNumberFormat="1" applyFont="1" applyBorder="1"/>
    <xf numFmtId="10" fontId="53" fillId="0" borderId="30" xfId="2" applyNumberFormat="1" applyFont="1" applyBorder="1"/>
    <xf numFmtId="10" fontId="53" fillId="0" borderId="31" xfId="2" applyNumberFormat="1" applyFont="1" applyBorder="1"/>
    <xf numFmtId="0" fontId="13" fillId="9" borderId="60" xfId="0" applyFont="1" applyFill="1" applyBorder="1"/>
    <xf numFmtId="0" fontId="13" fillId="9" borderId="31" xfId="0" applyFont="1" applyFill="1" applyBorder="1"/>
    <xf numFmtId="171" fontId="13" fillId="9" borderId="60" xfId="0" applyNumberFormat="1" applyFont="1" applyFill="1" applyBorder="1" applyAlignment="1">
      <alignment horizontal="center"/>
    </xf>
    <xf numFmtId="171" fontId="13" fillId="9" borderId="59" xfId="0" applyNumberFormat="1" applyFont="1" applyFill="1" applyBorder="1"/>
    <xf numFmtId="171" fontId="13" fillId="9" borderId="3" xfId="0" applyNumberFormat="1" applyFont="1" applyFill="1" applyBorder="1" applyAlignment="1">
      <alignment horizontal="center"/>
    </xf>
    <xf numFmtId="171" fontId="13" fillId="9" borderId="31" xfId="0" applyNumberFormat="1" applyFont="1" applyFill="1" applyBorder="1"/>
    <xf numFmtId="0" fontId="13" fillId="9" borderId="33" xfId="0" applyFont="1" applyFill="1" applyBorder="1"/>
    <xf numFmtId="0" fontId="13" fillId="9" borderId="69" xfId="0" applyFont="1" applyFill="1" applyBorder="1"/>
    <xf numFmtId="10" fontId="53" fillId="0" borderId="26" xfId="2" applyNumberFormat="1" applyFont="1" applyBorder="1"/>
    <xf numFmtId="171" fontId="13" fillId="9" borderId="63" xfId="0" applyNumberFormat="1" applyFont="1" applyFill="1" applyBorder="1" applyAlignment="1">
      <alignment horizontal="center"/>
    </xf>
    <xf numFmtId="171" fontId="13" fillId="9" borderId="27" xfId="0" applyNumberFormat="1" applyFont="1" applyFill="1" applyBorder="1"/>
    <xf numFmtId="171" fontId="13" fillId="9" borderId="4" xfId="0" applyNumberFormat="1" applyFont="1" applyFill="1" applyBorder="1" applyAlignment="1">
      <alignment horizontal="center"/>
    </xf>
    <xf numFmtId="171" fontId="13" fillId="9" borderId="57" xfId="0" applyNumberFormat="1" applyFont="1" applyFill="1" applyBorder="1"/>
    <xf numFmtId="168" fontId="28" fillId="0" borderId="3" xfId="0" applyNumberFormat="1" applyFont="1" applyBorder="1" applyAlignment="1">
      <alignment horizontal="center"/>
    </xf>
    <xf numFmtId="3" fontId="28" fillId="0" borderId="70" xfId="0" applyNumberFormat="1" applyFont="1" applyBorder="1" applyAlignment="1">
      <alignment horizontal="center"/>
    </xf>
    <xf numFmtId="3" fontId="28" fillId="0" borderId="9" xfId="0" applyNumberFormat="1" applyFont="1" applyBorder="1" applyAlignment="1">
      <alignment horizontal="center"/>
    </xf>
    <xf numFmtId="3" fontId="28" fillId="0" borderId="71" xfId="0" applyNumberFormat="1" applyFont="1" applyBorder="1" applyAlignment="1">
      <alignment horizontal="center"/>
    </xf>
    <xf numFmtId="10" fontId="85" fillId="0" borderId="9" xfId="0" applyNumberFormat="1" applyFont="1" applyBorder="1" applyAlignment="1">
      <alignment horizontal="center"/>
    </xf>
    <xf numFmtId="10" fontId="85" fillId="0" borderId="71" xfId="0" applyNumberFormat="1" applyFont="1" applyBorder="1" applyAlignment="1">
      <alignment horizontal="center"/>
    </xf>
    <xf numFmtId="10" fontId="16" fillId="0" borderId="28" xfId="2" applyNumberFormat="1" applyFont="1" applyBorder="1"/>
    <xf numFmtId="10" fontId="16" fillId="0" borderId="31" xfId="2" applyNumberFormat="1" applyFont="1" applyBorder="1"/>
    <xf numFmtId="10" fontId="8" fillId="0" borderId="28" xfId="2" applyNumberFormat="1" applyFont="1" applyBorder="1"/>
    <xf numFmtId="10" fontId="8" fillId="0" borderId="31" xfId="2" applyNumberFormat="1" applyFont="1" applyBorder="1"/>
    <xf numFmtId="3" fontId="76" fillId="0" borderId="30" xfId="0" applyNumberFormat="1" applyFont="1" applyBorder="1"/>
    <xf numFmtId="10" fontId="77" fillId="0" borderId="28" xfId="2" applyNumberFormat="1" applyFont="1" applyBorder="1"/>
    <xf numFmtId="10" fontId="16" fillId="0" borderId="51" xfId="2" applyNumberFormat="1" applyFont="1" applyBorder="1" applyAlignment="1">
      <alignment vertical="center"/>
    </xf>
    <xf numFmtId="10" fontId="16" fillId="0" borderId="69" xfId="2" applyNumberFormat="1" applyFont="1" applyBorder="1" applyAlignment="1">
      <alignment vertical="center"/>
    </xf>
    <xf numFmtId="0" fontId="35" fillId="0" borderId="33" xfId="0" applyFont="1" applyBorder="1" applyAlignment="1">
      <alignment wrapText="1"/>
    </xf>
    <xf numFmtId="0" fontId="35" fillId="0" borderId="60" xfId="0" applyFont="1" applyBorder="1" applyAlignment="1">
      <alignment wrapText="1"/>
    </xf>
    <xf numFmtId="10" fontId="16" fillId="0" borderId="31" xfId="2" applyNumberFormat="1" applyFont="1" applyBorder="1" applyAlignment="1">
      <alignment vertical="center"/>
    </xf>
    <xf numFmtId="10" fontId="13" fillId="0" borderId="69" xfId="2" applyNumberFormat="1" applyFont="1" applyBorder="1" applyAlignment="1">
      <alignment vertical="center"/>
    </xf>
    <xf numFmtId="169" fontId="16" fillId="0" borderId="64" xfId="2" applyNumberFormat="1" applyFont="1" applyBorder="1" applyAlignment="1">
      <alignment vertical="center"/>
    </xf>
    <xf numFmtId="169" fontId="11" fillId="0" borderId="38" xfId="2" applyNumberFormat="1" applyFont="1" applyBorder="1" applyAlignment="1">
      <alignment vertical="center"/>
    </xf>
    <xf numFmtId="169" fontId="12" fillId="0" borderId="38" xfId="2" applyNumberFormat="1" applyFont="1" applyBorder="1" applyAlignment="1">
      <alignment vertical="center"/>
    </xf>
    <xf numFmtId="169" fontId="10" fillId="0" borderId="47" xfId="2" applyNumberFormat="1" applyFont="1" applyBorder="1" applyAlignment="1"/>
    <xf numFmtId="169" fontId="10" fillId="0" borderId="38" xfId="2" applyNumberFormat="1" applyFont="1" applyBorder="1" applyAlignment="1"/>
    <xf numFmtId="10" fontId="11" fillId="0" borderId="45" xfId="2" applyNumberFormat="1" applyFont="1" applyBorder="1" applyAlignment="1">
      <alignment vertical="center"/>
    </xf>
    <xf numFmtId="10" fontId="12" fillId="0" borderId="66" xfId="2" applyNumberFormat="1" applyFont="1" applyBorder="1" applyAlignment="1">
      <alignment vertical="center"/>
    </xf>
    <xf numFmtId="10" fontId="10" fillId="0" borderId="69" xfId="2" applyNumberFormat="1" applyFont="1" applyBorder="1" applyAlignment="1">
      <alignment vertical="center"/>
    </xf>
    <xf numFmtId="10" fontId="10" fillId="0" borderId="66" xfId="2" applyNumberFormat="1" applyFont="1" applyBorder="1" applyAlignment="1">
      <alignment vertical="center"/>
    </xf>
    <xf numFmtId="0" fontId="79" fillId="0" borderId="99" xfId="0" applyFont="1" applyBorder="1" applyAlignment="1">
      <alignment horizontal="center" vertical="top" wrapText="1"/>
    </xf>
    <xf numFmtId="0" fontId="79" fillId="0" borderId="100" xfId="0" applyFont="1" applyBorder="1" applyAlignment="1">
      <alignment horizontal="left" vertical="top"/>
    </xf>
    <xf numFmtId="0" fontId="79" fillId="0" borderId="101" xfId="0" applyFont="1" applyBorder="1" applyAlignment="1">
      <alignment horizontal="left" vertical="top" wrapText="1"/>
    </xf>
    <xf numFmtId="0" fontId="79" fillId="0" borderId="102" xfId="0" applyFont="1" applyBorder="1" applyAlignment="1">
      <alignment horizontal="center" vertical="top"/>
    </xf>
    <xf numFmtId="0" fontId="79" fillId="0" borderId="101" xfId="0" applyFont="1" applyBorder="1" applyAlignment="1">
      <alignment horizontal="right" vertical="top"/>
    </xf>
    <xf numFmtId="0" fontId="79" fillId="0" borderId="97" xfId="0" applyFont="1" applyBorder="1" applyAlignment="1">
      <alignment horizontal="right" vertical="top"/>
    </xf>
    <xf numFmtId="0" fontId="79" fillId="0" borderId="84" xfId="0" applyFont="1" applyBorder="1" applyAlignment="1">
      <alignment horizontal="right" vertical="top" wrapText="1"/>
    </xf>
    <xf numFmtId="0" fontId="79" fillId="0" borderId="84" xfId="0" applyFont="1" applyBorder="1" applyAlignment="1">
      <alignment horizontal="center" vertical="top" wrapText="1"/>
    </xf>
    <xf numFmtId="0" fontId="79" fillId="0" borderId="103" xfId="0" applyFont="1" applyBorder="1" applyAlignment="1">
      <alignment horizontal="center" vertical="top" wrapText="1"/>
    </xf>
    <xf numFmtId="0" fontId="79" fillId="0" borderId="94" xfId="0" applyFont="1" applyBorder="1" applyAlignment="1">
      <alignment horizontal="center" vertical="top" wrapText="1"/>
    </xf>
    <xf numFmtId="0" fontId="79" fillId="0" borderId="95" xfId="0" applyFont="1" applyBorder="1" applyAlignment="1">
      <alignment horizontal="center" vertical="top" wrapText="1"/>
    </xf>
    <xf numFmtId="0" fontId="79" fillId="0" borderId="96" xfId="0" applyFont="1" applyBorder="1" applyAlignment="1">
      <alignment horizontal="center" vertical="top" wrapText="1"/>
    </xf>
    <xf numFmtId="0" fontId="79" fillId="0" borderId="104" xfId="0" applyFont="1" applyBorder="1" applyAlignment="1">
      <alignment horizontal="center" vertical="top" wrapText="1"/>
    </xf>
    <xf numFmtId="180" fontId="80" fillId="0" borderId="105" xfId="0" applyNumberFormat="1" applyFont="1" applyBorder="1" applyAlignment="1">
      <alignment vertical="center"/>
    </xf>
    <xf numFmtId="180" fontId="80" fillId="0" borderId="106" xfId="0" applyNumberFormat="1" applyFont="1" applyBorder="1" applyAlignment="1">
      <alignment vertical="center"/>
    </xf>
    <xf numFmtId="180" fontId="80" fillId="0" borderId="107" xfId="0" applyNumberFormat="1" applyFont="1" applyBorder="1" applyAlignment="1">
      <alignment vertical="center"/>
    </xf>
    <xf numFmtId="180" fontId="80" fillId="0" borderId="108" xfId="0" applyNumberFormat="1" applyFont="1" applyBorder="1" applyAlignment="1">
      <alignment vertical="center"/>
    </xf>
    <xf numFmtId="180" fontId="81" fillId="0" borderId="109" xfId="0" applyNumberFormat="1" applyFont="1" applyBorder="1" applyAlignment="1">
      <alignment vertical="center"/>
    </xf>
    <xf numFmtId="0" fontId="78" fillId="0" borderId="0" xfId="0" applyFont="1"/>
    <xf numFmtId="0" fontId="78" fillId="0" borderId="48" xfId="0" applyFont="1" applyBorder="1" applyAlignment="1">
      <alignment horizontal="left" vertical="center"/>
    </xf>
    <xf numFmtId="0" fontId="78" fillId="0" borderId="73" xfId="0" applyFont="1" applyBorder="1"/>
    <xf numFmtId="180" fontId="78" fillId="0" borderId="36" xfId="0" applyNumberFormat="1" applyFont="1" applyBorder="1"/>
    <xf numFmtId="0" fontId="78" fillId="0" borderId="49" xfId="0" applyFont="1" applyBorder="1"/>
    <xf numFmtId="180" fontId="78" fillId="0" borderId="26" xfId="0" applyNumberFormat="1" applyFont="1" applyBorder="1"/>
    <xf numFmtId="0" fontId="79" fillId="0" borderId="34" xfId="0" applyFont="1" applyBorder="1"/>
    <xf numFmtId="0" fontId="79" fillId="0" borderId="35" xfId="0" applyFont="1" applyBorder="1"/>
    <xf numFmtId="9" fontId="79" fillId="0" borderId="25" xfId="2" applyFont="1" applyBorder="1"/>
    <xf numFmtId="0" fontId="63" fillId="0" borderId="110" xfId="0" applyFont="1" applyBorder="1" applyAlignment="1">
      <alignment horizontal="right" vertical="center" wrapText="1"/>
    </xf>
    <xf numFmtId="0" fontId="63" fillId="0" borderId="87" xfId="0" applyFont="1" applyBorder="1" applyAlignment="1">
      <alignment horizontal="left" vertical="center" wrapText="1"/>
    </xf>
    <xf numFmtId="0" fontId="63" fillId="0" borderId="111" xfId="0" applyFont="1" applyBorder="1" applyAlignment="1">
      <alignment horizontal="right" vertical="center" wrapText="1"/>
    </xf>
    <xf numFmtId="0" fontId="63" fillId="0" borderId="83" xfId="0" applyFont="1" applyBorder="1" applyAlignment="1">
      <alignment horizontal="left" vertical="center" wrapText="1"/>
    </xf>
    <xf numFmtId="0" fontId="63" fillId="0" borderId="84" xfId="0" applyFont="1" applyBorder="1" applyAlignment="1">
      <alignment horizontal="left" vertical="center" wrapText="1"/>
    </xf>
    <xf numFmtId="0" fontId="63" fillId="0" borderId="112" xfId="0" applyFont="1" applyBorder="1" applyAlignment="1">
      <alignment horizontal="right" vertical="center" wrapText="1"/>
    </xf>
    <xf numFmtId="0" fontId="63" fillId="0" borderId="104" xfId="0" applyFont="1" applyBorder="1" applyAlignment="1">
      <alignment horizontal="left" vertical="center" wrapText="1"/>
    </xf>
    <xf numFmtId="0" fontId="11" fillId="0" borderId="28" xfId="0" applyFont="1" applyBorder="1" applyAlignment="1">
      <alignment horizontal="center"/>
    </xf>
    <xf numFmtId="0" fontId="11" fillId="0" borderId="31" xfId="0" applyFont="1" applyBorder="1" applyAlignment="1">
      <alignment horizontal="center"/>
    </xf>
    <xf numFmtId="10" fontId="0" fillId="0" borderId="0" xfId="2" applyNumberFormat="1" applyFont="1" applyBorder="1" applyAlignment="1">
      <alignment horizontal="center"/>
    </xf>
    <xf numFmtId="10" fontId="0" fillId="0" borderId="29" xfId="0" applyNumberFormat="1" applyBorder="1" applyAlignment="1">
      <alignment horizontal="center"/>
    </xf>
    <xf numFmtId="3" fontId="6" fillId="0" borderId="71" xfId="0" applyNumberFormat="1" applyFont="1" applyBorder="1"/>
    <xf numFmtId="0" fontId="11" fillId="0" borderId="17" xfId="0" applyFont="1" applyBorder="1"/>
    <xf numFmtId="178" fontId="0" fillId="0" borderId="11" xfId="0" applyNumberFormat="1" applyBorder="1"/>
    <xf numFmtId="178" fontId="82" fillId="0" borderId="11" xfId="0" applyNumberFormat="1" applyFont="1" applyBorder="1" applyAlignment="1">
      <alignment vertical="center"/>
    </xf>
    <xf numFmtId="178" fontId="82" fillId="0" borderId="14" xfId="0" applyNumberFormat="1" applyFont="1" applyBorder="1" applyAlignment="1">
      <alignment vertical="center"/>
    </xf>
    <xf numFmtId="170" fontId="0" fillId="0" borderId="6" xfId="0" applyNumberFormat="1" applyBorder="1"/>
    <xf numFmtId="169" fontId="16" fillId="0" borderId="33" xfId="2" applyNumberFormat="1" applyFont="1" applyBorder="1" applyAlignment="1">
      <alignment vertical="center"/>
    </xf>
    <xf numFmtId="10" fontId="53" fillId="0" borderId="58" xfId="2" applyNumberFormat="1" applyFont="1" applyBorder="1"/>
    <xf numFmtId="168" fontId="5" fillId="0" borderId="60" xfId="0" applyNumberFormat="1" applyFont="1" applyBorder="1" applyAlignment="1">
      <alignment horizontal="center"/>
    </xf>
    <xf numFmtId="10" fontId="53" fillId="0" borderId="59" xfId="2" applyNumberFormat="1" applyFont="1" applyBorder="1"/>
    <xf numFmtId="10" fontId="11" fillId="0" borderId="44" xfId="2" applyNumberFormat="1" applyFont="1" applyBorder="1" applyAlignment="1">
      <alignment vertical="center"/>
    </xf>
    <xf numFmtId="169" fontId="11" fillId="0" borderId="47" xfId="2" applyNumberFormat="1" applyFont="1" applyBorder="1" applyAlignment="1">
      <alignment vertical="center"/>
    </xf>
    <xf numFmtId="169" fontId="11" fillId="0" borderId="5" xfId="2" applyNumberFormat="1" applyFont="1" applyBorder="1" applyAlignment="1">
      <alignment horizontal="center" vertical="center"/>
    </xf>
    <xf numFmtId="10" fontId="11" fillId="0" borderId="59" xfId="2" applyNumberFormat="1" applyFont="1" applyBorder="1" applyAlignment="1">
      <alignment vertical="center"/>
    </xf>
    <xf numFmtId="10" fontId="53" fillId="12" borderId="0" xfId="2" applyNumberFormat="1" applyFont="1" applyFill="1" applyBorder="1"/>
    <xf numFmtId="10" fontId="75" fillId="12" borderId="29" xfId="2" applyNumberFormat="1" applyFont="1" applyFill="1" applyBorder="1"/>
    <xf numFmtId="10" fontId="75" fillId="12" borderId="0" xfId="2" applyNumberFormat="1" applyFont="1" applyFill="1" applyBorder="1"/>
    <xf numFmtId="10" fontId="75" fillId="12" borderId="3" xfId="2" applyNumberFormat="1" applyFont="1" applyFill="1" applyBorder="1"/>
    <xf numFmtId="10" fontId="75" fillId="12" borderId="30" xfId="2" applyNumberFormat="1" applyFont="1" applyFill="1" applyBorder="1"/>
    <xf numFmtId="10" fontId="75" fillId="12" borderId="28" xfId="2" applyNumberFormat="1" applyFont="1" applyFill="1" applyBorder="1"/>
    <xf numFmtId="10" fontId="75" fillId="12" borderId="31" xfId="2" applyNumberFormat="1" applyFont="1" applyFill="1" applyBorder="1"/>
    <xf numFmtId="169" fontId="6" fillId="0" borderId="28" xfId="2" applyNumberFormat="1" applyFont="1" applyBorder="1"/>
    <xf numFmtId="3" fontId="85" fillId="0" borderId="9" xfId="0" applyNumberFormat="1" applyFont="1" applyBorder="1" applyAlignment="1">
      <alignment horizontal="center"/>
    </xf>
    <xf numFmtId="10" fontId="16" fillId="0" borderId="32" xfId="0" applyNumberFormat="1" applyFont="1" applyBorder="1"/>
    <xf numFmtId="10" fontId="16" fillId="0" borderId="1" xfId="0" applyNumberFormat="1" applyFont="1" applyBorder="1"/>
    <xf numFmtId="10" fontId="16" fillId="0" borderId="16" xfId="0" applyNumberFormat="1" applyFont="1" applyBorder="1"/>
    <xf numFmtId="0" fontId="6" fillId="0" borderId="34" xfId="0" applyFont="1" applyBorder="1"/>
    <xf numFmtId="3" fontId="6" fillId="0" borderId="67" xfId="0" applyNumberFormat="1" applyFont="1" applyBorder="1"/>
    <xf numFmtId="3" fontId="44" fillId="0" borderId="71" xfId="0" applyNumberFormat="1" applyFont="1" applyBorder="1"/>
    <xf numFmtId="3" fontId="44" fillId="0" borderId="12" xfId="0" applyNumberFormat="1" applyFont="1" applyBorder="1"/>
    <xf numFmtId="3" fontId="44" fillId="0" borderId="13" xfId="0" applyNumberFormat="1" applyFont="1" applyBorder="1"/>
    <xf numFmtId="0" fontId="6" fillId="0" borderId="37" xfId="0" applyFont="1" applyBorder="1" applyAlignment="1">
      <alignment vertical="center"/>
    </xf>
    <xf numFmtId="0" fontId="6" fillId="0" borderId="7" xfId="0" applyFont="1" applyBorder="1" applyAlignment="1">
      <alignment vertical="center"/>
    </xf>
    <xf numFmtId="10" fontId="0" fillId="0" borderId="7" xfId="0" applyNumberFormat="1" applyBorder="1" applyAlignment="1">
      <alignment vertical="center"/>
    </xf>
    <xf numFmtId="0" fontId="6" fillId="0" borderId="19" xfId="0" applyFont="1" applyBorder="1" applyAlignment="1">
      <alignment vertical="center"/>
    </xf>
    <xf numFmtId="9" fontId="0" fillId="0" borderId="37" xfId="2" applyFont="1" applyFill="1" applyBorder="1" applyAlignment="1">
      <alignment vertical="center"/>
    </xf>
    <xf numFmtId="169" fontId="0" fillId="0" borderId="49" xfId="0" applyNumberFormat="1" applyBorder="1"/>
    <xf numFmtId="0" fontId="11" fillId="0" borderId="0" xfId="0" applyFont="1"/>
    <xf numFmtId="169" fontId="6" fillId="0" borderId="0" xfId="2" applyNumberFormat="1" applyFont="1" applyBorder="1"/>
    <xf numFmtId="3" fontId="21" fillId="0" borderId="1" xfId="0" applyNumberFormat="1" applyFont="1" applyBorder="1"/>
    <xf numFmtId="10" fontId="0" fillId="0" borderId="27" xfId="0" applyNumberFormat="1" applyBorder="1"/>
    <xf numFmtId="0" fontId="6" fillId="0" borderId="54" xfId="0" applyFont="1" applyBorder="1"/>
    <xf numFmtId="10" fontId="43" fillId="0" borderId="0" xfId="0" applyNumberFormat="1" applyFont="1" applyAlignment="1">
      <alignment horizontal="center"/>
    </xf>
    <xf numFmtId="0" fontId="5" fillId="0" borderId="3" xfId="0" applyFont="1" applyBorder="1"/>
    <xf numFmtId="169" fontId="6" fillId="0" borderId="11" xfId="0" applyNumberFormat="1" applyFont="1" applyBorder="1"/>
    <xf numFmtId="0" fontId="6" fillId="0" borderId="63" xfId="0" applyFont="1" applyBorder="1"/>
    <xf numFmtId="0" fontId="6" fillId="0" borderId="33" xfId="0" applyFont="1" applyBorder="1"/>
    <xf numFmtId="169" fontId="0" fillId="0" borderId="51" xfId="2" applyNumberFormat="1" applyFont="1" applyBorder="1"/>
    <xf numFmtId="169" fontId="0" fillId="0" borderId="40" xfId="2" applyNumberFormat="1" applyFont="1" applyBorder="1"/>
    <xf numFmtId="169" fontId="0" fillId="0" borderId="41" xfId="2" applyNumberFormat="1" applyFont="1" applyBorder="1"/>
    <xf numFmtId="0" fontId="6" fillId="0" borderId="60" xfId="0" applyFont="1" applyBorder="1"/>
    <xf numFmtId="169" fontId="0" fillId="0" borderId="14" xfId="2" applyNumberFormat="1" applyFont="1" applyBorder="1"/>
    <xf numFmtId="0" fontId="6" fillId="0" borderId="49" xfId="0" applyFont="1" applyBorder="1"/>
    <xf numFmtId="0" fontId="6" fillId="0" borderId="26" xfId="0" applyFont="1" applyBorder="1"/>
    <xf numFmtId="10" fontId="5" fillId="0" borderId="0" xfId="2" applyNumberFormat="1" applyFont="1" applyBorder="1"/>
    <xf numFmtId="0" fontId="6" fillId="0" borderId="48" xfId="0" applyFont="1" applyBorder="1"/>
    <xf numFmtId="0" fontId="14" fillId="0" borderId="34" xfId="0" applyFont="1" applyBorder="1"/>
    <xf numFmtId="0" fontId="11" fillId="0" borderId="0" xfId="0" applyFont="1" applyAlignment="1">
      <alignment vertical="top"/>
    </xf>
    <xf numFmtId="0" fontId="5" fillId="9" borderId="1" xfId="0" applyFont="1" applyFill="1" applyBorder="1" applyAlignment="1">
      <alignment horizontal="left" vertical="top" wrapText="1"/>
    </xf>
    <xf numFmtId="2" fontId="0" fillId="0" borderId="36" xfId="0" applyNumberFormat="1" applyBorder="1"/>
    <xf numFmtId="2" fontId="0" fillId="0" borderId="27" xfId="0" applyNumberFormat="1" applyBorder="1"/>
    <xf numFmtId="2" fontId="0" fillId="0" borderId="26" xfId="0" applyNumberFormat="1" applyBorder="1"/>
    <xf numFmtId="169" fontId="43" fillId="0" borderId="28" xfId="0" applyNumberFormat="1" applyFont="1" applyBorder="1" applyAlignment="1">
      <alignment horizontal="center"/>
    </xf>
    <xf numFmtId="0" fontId="11" fillId="0" borderId="50" xfId="0" applyFont="1" applyBorder="1"/>
    <xf numFmtId="0" fontId="16" fillId="0" borderId="27" xfId="0" applyFont="1" applyBorder="1"/>
    <xf numFmtId="0" fontId="11" fillId="0" borderId="36" xfId="0" applyFont="1" applyBorder="1"/>
    <xf numFmtId="0" fontId="11" fillId="0" borderId="48" xfId="0" applyFont="1" applyBorder="1"/>
    <xf numFmtId="3" fontId="11" fillId="0" borderId="48" xfId="0" applyNumberFormat="1" applyFont="1" applyBorder="1"/>
    <xf numFmtId="10" fontId="52" fillId="0" borderId="25" xfId="0" applyNumberFormat="1" applyFont="1" applyBorder="1"/>
    <xf numFmtId="0" fontId="5" fillId="9" borderId="76" xfId="0" applyFont="1" applyFill="1" applyBorder="1" applyAlignment="1">
      <alignment horizontal="right"/>
    </xf>
    <xf numFmtId="0" fontId="5" fillId="9" borderId="67" xfId="0" applyFont="1" applyFill="1" applyBorder="1" applyAlignment="1">
      <alignment horizontal="right"/>
    </xf>
    <xf numFmtId="3" fontId="0" fillId="0" borderId="63" xfId="0" applyNumberFormat="1" applyBorder="1"/>
    <xf numFmtId="3" fontId="21" fillId="0" borderId="54" xfId="0" applyNumberFormat="1" applyFont="1" applyBorder="1"/>
    <xf numFmtId="170" fontId="0" fillId="0" borderId="54" xfId="0" applyNumberFormat="1" applyBorder="1"/>
    <xf numFmtId="170" fontId="0" fillId="0" borderId="28" xfId="0" applyNumberFormat="1" applyBorder="1"/>
    <xf numFmtId="3" fontId="5" fillId="0" borderId="60" xfId="0" applyNumberFormat="1" applyFont="1" applyBorder="1"/>
    <xf numFmtId="3" fontId="5" fillId="0" borderId="31" xfId="0" applyNumberFormat="1" applyFont="1" applyBorder="1"/>
    <xf numFmtId="0" fontId="6" fillId="0" borderId="1" xfId="0" applyFont="1" applyBorder="1" applyAlignment="1">
      <alignment vertical="center"/>
    </xf>
    <xf numFmtId="0" fontId="6" fillId="0" borderId="1" xfId="0" applyFont="1" applyBorder="1" applyAlignment="1">
      <alignment vertical="center" wrapText="1"/>
    </xf>
    <xf numFmtId="0" fontId="86" fillId="0" borderId="0" xfId="0" applyFont="1"/>
    <xf numFmtId="174" fontId="26" fillId="0" borderId="11" xfId="10" applyNumberFormat="1" applyFont="1" applyFill="1" applyBorder="1"/>
    <xf numFmtId="174" fontId="26" fillId="5" borderId="71" xfId="10" applyNumberFormat="1" applyFont="1" applyBorder="1"/>
    <xf numFmtId="174" fontId="26" fillId="5" borderId="12" xfId="10" applyNumberFormat="1" applyFont="1" applyBorder="1"/>
    <xf numFmtId="174" fontId="26" fillId="5" borderId="31" xfId="10" applyNumberFormat="1" applyFont="1" applyBorder="1"/>
    <xf numFmtId="0" fontId="6" fillId="9" borderId="76" xfId="0" applyFont="1" applyFill="1" applyBorder="1"/>
    <xf numFmtId="0" fontId="6" fillId="10" borderId="49" xfId="0" applyFont="1" applyFill="1" applyBorder="1" applyAlignment="1">
      <alignment horizontal="right"/>
    </xf>
    <xf numFmtId="0" fontId="6" fillId="10" borderId="50" xfId="0" applyFont="1" applyFill="1" applyBorder="1" applyAlignment="1">
      <alignment horizontal="right"/>
    </xf>
    <xf numFmtId="0" fontId="5" fillId="9" borderId="30" xfId="0" applyFont="1" applyFill="1" applyBorder="1" applyAlignment="1">
      <alignment horizontal="center" vertical="top" wrapText="1"/>
    </xf>
    <xf numFmtId="0" fontId="5" fillId="0" borderId="51" xfId="0" applyFont="1" applyBorder="1"/>
    <xf numFmtId="0" fontId="5" fillId="0" borderId="47" xfId="0" applyFont="1" applyBorder="1" applyAlignment="1">
      <alignment horizontal="right"/>
    </xf>
    <xf numFmtId="0" fontId="5" fillId="0" borderId="14" xfId="0" applyFont="1" applyBorder="1" applyAlignment="1">
      <alignment horizontal="right"/>
    </xf>
    <xf numFmtId="0" fontId="6" fillId="0" borderId="77" xfId="0" applyFont="1" applyBorder="1"/>
    <xf numFmtId="0" fontId="6" fillId="0" borderId="9" xfId="0" applyFont="1" applyBorder="1"/>
    <xf numFmtId="0" fontId="6" fillId="0" borderId="18" xfId="0" applyFont="1" applyBorder="1"/>
    <xf numFmtId="0" fontId="5" fillId="0" borderId="64" xfId="0" applyFont="1" applyBorder="1"/>
    <xf numFmtId="0" fontId="5" fillId="0" borderId="9" xfId="0" applyFont="1" applyBorder="1"/>
    <xf numFmtId="0" fontId="5" fillId="10" borderId="49" xfId="0" applyFont="1" applyFill="1" applyBorder="1" applyAlignment="1">
      <alignment horizontal="right"/>
    </xf>
    <xf numFmtId="0" fontId="5" fillId="0" borderId="76" xfId="0" applyFont="1" applyBorder="1"/>
    <xf numFmtId="0" fontId="5" fillId="0" borderId="53" xfId="0" applyFont="1" applyBorder="1"/>
    <xf numFmtId="171" fontId="6" fillId="0" borderId="51" xfId="2" applyNumberFormat="1" applyFont="1" applyBorder="1" applyAlignment="1">
      <alignment horizontal="center"/>
    </xf>
    <xf numFmtId="171" fontId="6" fillId="0" borderId="40" xfId="0" applyNumberFormat="1" applyFont="1" applyBorder="1" applyAlignment="1">
      <alignment horizontal="center"/>
    </xf>
    <xf numFmtId="173" fontId="6" fillId="0" borderId="41" xfId="2" applyNumberFormat="1" applyFont="1" applyBorder="1" applyAlignment="1">
      <alignment horizontal="center"/>
    </xf>
    <xf numFmtId="0" fontId="6" fillId="0" borderId="61" xfId="0" applyFont="1" applyBorder="1"/>
    <xf numFmtId="171" fontId="6" fillId="0" borderId="32" xfId="2" applyNumberFormat="1" applyFont="1" applyBorder="1" applyAlignment="1">
      <alignment horizontal="center"/>
    </xf>
    <xf numFmtId="171" fontId="6" fillId="0" borderId="1" xfId="0" applyNumberFormat="1" applyFont="1" applyBorder="1" applyAlignment="1">
      <alignment horizontal="center"/>
    </xf>
    <xf numFmtId="173" fontId="6" fillId="0" borderId="16" xfId="2" applyNumberFormat="1" applyFont="1" applyBorder="1" applyAlignment="1">
      <alignment horizontal="center"/>
    </xf>
    <xf numFmtId="0" fontId="6" fillId="0" borderId="64" xfId="0" applyFont="1" applyBorder="1"/>
    <xf numFmtId="171" fontId="6" fillId="0" borderId="22" xfId="2" applyNumberFormat="1" applyFont="1" applyBorder="1" applyAlignment="1">
      <alignment horizontal="center"/>
    </xf>
    <xf numFmtId="171" fontId="6" fillId="0" borderId="23" xfId="0" applyNumberFormat="1" applyFont="1" applyBorder="1" applyAlignment="1">
      <alignment horizontal="center"/>
    </xf>
    <xf numFmtId="173" fontId="6" fillId="0" borderId="24" xfId="2" applyNumberFormat="1" applyFont="1" applyBorder="1" applyAlignment="1">
      <alignment horizontal="center"/>
    </xf>
    <xf numFmtId="0" fontId="6" fillId="11" borderId="40" xfId="0" applyFont="1" applyFill="1" applyBorder="1" applyAlignment="1">
      <alignment horizontal="center"/>
    </xf>
    <xf numFmtId="0" fontId="6" fillId="0" borderId="40" xfId="0" applyFont="1" applyBorder="1" applyAlignment="1">
      <alignment horizontal="center"/>
    </xf>
    <xf numFmtId="0" fontId="6" fillId="11" borderId="1" xfId="0" applyFont="1" applyFill="1" applyBorder="1" applyAlignment="1">
      <alignment horizontal="center"/>
    </xf>
    <xf numFmtId="0" fontId="6" fillId="0" borderId="1" xfId="0" applyFont="1" applyBorder="1" applyAlignment="1">
      <alignment horizontal="center"/>
    </xf>
    <xf numFmtId="0" fontId="6" fillId="0" borderId="21" xfId="0" applyFont="1" applyBorder="1"/>
    <xf numFmtId="0" fontId="6" fillId="11" borderId="23" xfId="0" applyFont="1" applyFill="1" applyBorder="1" applyAlignment="1">
      <alignment horizontal="center"/>
    </xf>
    <xf numFmtId="0" fontId="6" fillId="0" borderId="23" xfId="0" applyFont="1" applyBorder="1" applyAlignment="1">
      <alignment horizontal="center"/>
    </xf>
    <xf numFmtId="0" fontId="6" fillId="0" borderId="0" xfId="0" applyFont="1" applyAlignment="1">
      <alignment horizontal="center"/>
    </xf>
    <xf numFmtId="0" fontId="6" fillId="10" borderId="40" xfId="0" applyFont="1" applyFill="1" applyBorder="1" applyAlignment="1">
      <alignment horizontal="center"/>
    </xf>
    <xf numFmtId="0" fontId="6" fillId="10" borderId="1" xfId="0" applyFont="1" applyFill="1" applyBorder="1" applyAlignment="1">
      <alignment horizontal="center"/>
    </xf>
    <xf numFmtId="0" fontId="6" fillId="10" borderId="23" xfId="0" applyFont="1" applyFill="1" applyBorder="1" applyAlignment="1">
      <alignment horizontal="center"/>
    </xf>
    <xf numFmtId="0" fontId="6" fillId="0" borderId="36" xfId="0" applyFont="1" applyBorder="1"/>
    <xf numFmtId="0" fontId="5" fillId="9" borderId="10" xfId="0" applyFont="1" applyFill="1" applyBorder="1" applyAlignment="1">
      <alignment vertical="top"/>
    </xf>
    <xf numFmtId="0" fontId="5" fillId="9" borderId="76" xfId="0" applyFont="1" applyFill="1" applyBorder="1" applyAlignment="1">
      <alignment horizontal="center" vertical="top"/>
    </xf>
    <xf numFmtId="0" fontId="5" fillId="9" borderId="43" xfId="0" applyFont="1" applyFill="1" applyBorder="1" applyAlignment="1">
      <alignment horizontal="center" vertical="top" wrapText="1"/>
    </xf>
    <xf numFmtId="0" fontId="5" fillId="9" borderId="79" xfId="0" applyFont="1" applyFill="1" applyBorder="1" applyAlignment="1">
      <alignment horizontal="center" vertical="top" wrapText="1"/>
    </xf>
    <xf numFmtId="173" fontId="6" fillId="0" borderId="40" xfId="2" applyNumberFormat="1" applyFont="1" applyBorder="1" applyAlignment="1">
      <alignment horizontal="center"/>
    </xf>
    <xf numFmtId="173" fontId="6" fillId="0" borderId="1" xfId="2" applyNumberFormat="1" applyFont="1" applyBorder="1" applyAlignment="1">
      <alignment horizontal="center"/>
    </xf>
    <xf numFmtId="173" fontId="6" fillId="0" borderId="23" xfId="2" applyNumberFormat="1" applyFont="1" applyBorder="1" applyAlignment="1">
      <alignment horizontal="center"/>
    </xf>
    <xf numFmtId="0" fontId="5" fillId="0" borderId="39" xfId="0" applyFont="1" applyBorder="1" applyAlignment="1">
      <alignment horizontal="center"/>
    </xf>
    <xf numFmtId="173" fontId="5" fillId="0" borderId="79" xfId="2" applyNumberFormat="1" applyFont="1" applyBorder="1" applyAlignment="1">
      <alignment horizontal="center"/>
    </xf>
    <xf numFmtId="0" fontId="5" fillId="0" borderId="72" xfId="0" applyFont="1" applyBorder="1" applyAlignment="1">
      <alignment horizontal="center" vertical="top" wrapText="1"/>
    </xf>
    <xf numFmtId="10" fontId="5" fillId="0" borderId="0" xfId="2" applyNumberFormat="1" applyFont="1" applyBorder="1" applyAlignment="1">
      <alignment horizontal="center"/>
    </xf>
    <xf numFmtId="0" fontId="11" fillId="0" borderId="37" xfId="0" applyFont="1" applyBorder="1"/>
    <xf numFmtId="10" fontId="11" fillId="0" borderId="73" xfId="0" applyNumberFormat="1" applyFont="1" applyBorder="1"/>
    <xf numFmtId="0" fontId="11" fillId="0" borderId="7" xfId="0" applyFont="1" applyBorder="1"/>
    <xf numFmtId="10" fontId="11" fillId="0" borderId="0" xfId="0" applyNumberFormat="1" applyFont="1"/>
    <xf numFmtId="0" fontId="21" fillId="0" borderId="35" xfId="0" applyFont="1" applyBorder="1"/>
    <xf numFmtId="10" fontId="21" fillId="0" borderId="25" xfId="0" applyNumberFormat="1" applyFont="1" applyBorder="1"/>
    <xf numFmtId="171" fontId="6" fillId="0" borderId="19" xfId="2" applyNumberFormat="1" applyFont="1" applyFill="1" applyBorder="1"/>
    <xf numFmtId="0" fontId="6" fillId="0" borderId="1" xfId="0" applyFont="1" applyBorder="1"/>
    <xf numFmtId="169" fontId="6" fillId="10" borderId="37" xfId="2" applyNumberFormat="1" applyFont="1" applyFill="1" applyBorder="1"/>
    <xf numFmtId="10" fontId="6" fillId="0" borderId="7" xfId="2" applyNumberFormat="1" applyFont="1" applyBorder="1"/>
    <xf numFmtId="169" fontId="6" fillId="10" borderId="7" xfId="2" applyNumberFormat="1" applyFont="1" applyFill="1" applyBorder="1"/>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10" fontId="5" fillId="0" borderId="3" xfId="0" applyNumberFormat="1" applyFont="1" applyBorder="1"/>
    <xf numFmtId="10" fontId="0" fillId="0" borderId="3" xfId="0" applyNumberFormat="1" applyBorder="1"/>
    <xf numFmtId="166" fontId="1" fillId="0" borderId="28" xfId="9" applyFont="1" applyFill="1" applyBorder="1">
      <alignment horizontal="left"/>
    </xf>
    <xf numFmtId="164" fontId="1" fillId="0" borderId="60" xfId="6" applyFont="1" applyFill="1" applyBorder="1">
      <alignment horizontal="left"/>
    </xf>
    <xf numFmtId="166" fontId="1" fillId="0" borderId="31" xfId="9" applyFont="1" applyFill="1" applyBorder="1">
      <alignment horizontal="left"/>
    </xf>
    <xf numFmtId="166" fontId="1" fillId="0" borderId="57" xfId="9" applyFont="1" applyFill="1" applyBorder="1">
      <alignment horizontal="left"/>
    </xf>
    <xf numFmtId="0" fontId="29" fillId="0" borderId="0" xfId="0" applyFont="1" applyAlignment="1">
      <alignment horizontal="center" vertical="center"/>
    </xf>
    <xf numFmtId="49" fontId="1"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5" fillId="9" borderId="34" xfId="0" applyFont="1" applyFill="1" applyBorder="1" applyAlignment="1">
      <alignment horizontal="center" vertical="center"/>
    </xf>
    <xf numFmtId="0" fontId="5" fillId="9" borderId="25" xfId="0" applyFont="1" applyFill="1" applyBorder="1" applyAlignment="1">
      <alignment horizontal="center" vertical="center"/>
    </xf>
    <xf numFmtId="49" fontId="1" fillId="0" borderId="37"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19" xfId="0" applyNumberFormat="1" applyBorder="1" applyAlignment="1">
      <alignment horizontal="center" vertical="center" wrapText="1"/>
    </xf>
    <xf numFmtId="0" fontId="14" fillId="9" borderId="76" xfId="0" applyFont="1" applyFill="1" applyBorder="1" applyAlignment="1">
      <alignment horizontal="center" vertical="center"/>
    </xf>
    <xf numFmtId="0" fontId="14" fillId="9" borderId="72" xfId="0" applyFont="1" applyFill="1" applyBorder="1" applyAlignment="1">
      <alignment horizontal="center" vertical="center"/>
    </xf>
    <xf numFmtId="0" fontId="14" fillId="9" borderId="67" xfId="0" applyFont="1" applyFill="1" applyBorder="1" applyAlignment="1">
      <alignment horizontal="center" vertical="center"/>
    </xf>
    <xf numFmtId="0" fontId="17" fillId="0" borderId="0" xfId="1" applyAlignment="1" applyProtection="1">
      <alignment horizontal="right" vertical="top"/>
    </xf>
    <xf numFmtId="0" fontId="17" fillId="0" borderId="0" xfId="1" applyAlignment="1" applyProtection="1">
      <alignment horizontal="center" vertical="top"/>
    </xf>
    <xf numFmtId="0" fontId="79" fillId="0" borderId="113" xfId="0" applyFont="1" applyBorder="1" applyAlignment="1">
      <alignment horizontal="center" vertical="center" textRotation="90" wrapText="1"/>
    </xf>
    <xf numFmtId="0" fontId="79" fillId="0" borderId="114" xfId="0" applyFont="1" applyBorder="1" applyAlignment="1">
      <alignment horizontal="center" vertical="center" textRotation="90" wrapText="1"/>
    </xf>
    <xf numFmtId="0" fontId="79" fillId="0" borderId="115" xfId="0" applyFont="1" applyBorder="1" applyAlignment="1">
      <alignment horizontal="center" vertical="center" textRotation="90" wrapText="1"/>
    </xf>
    <xf numFmtId="0" fontId="79" fillId="0" borderId="100" xfId="0" applyFont="1" applyBorder="1" applyAlignment="1">
      <alignment horizontal="left" vertical="top" wrapText="1"/>
    </xf>
    <xf numFmtId="0" fontId="79" fillId="0" borderId="101" xfId="0" applyFont="1" applyBorder="1" applyAlignment="1">
      <alignment horizontal="left" vertical="top" wrapText="1"/>
    </xf>
    <xf numFmtId="0" fontId="79" fillId="0" borderId="97" xfId="0" applyFont="1" applyBorder="1" applyAlignment="1">
      <alignment horizontal="left" vertical="top" wrapText="1"/>
    </xf>
    <xf numFmtId="0" fontId="79" fillId="0" borderId="113" xfId="0" applyFont="1" applyBorder="1" applyAlignment="1">
      <alignment horizontal="center" vertical="top" wrapText="1"/>
    </xf>
    <xf numFmtId="0" fontId="79" fillId="0" borderId="114" xfId="0" applyFont="1" applyBorder="1" applyAlignment="1">
      <alignment horizontal="center" vertical="top" wrapText="1"/>
    </xf>
    <xf numFmtId="0" fontId="79" fillId="0" borderId="115" xfId="0" applyFont="1" applyBorder="1" applyAlignment="1">
      <alignment horizontal="center" vertical="top" wrapText="1"/>
    </xf>
    <xf numFmtId="0" fontId="79" fillId="0" borderId="100" xfId="0" applyFont="1" applyBorder="1" applyAlignment="1">
      <alignment horizontal="center" vertical="top" wrapText="1"/>
    </xf>
    <xf numFmtId="0" fontId="79" fillId="0" borderId="101" xfId="0" applyFont="1" applyBorder="1" applyAlignment="1">
      <alignment horizontal="center" vertical="top" wrapText="1"/>
    </xf>
    <xf numFmtId="0" fontId="79" fillId="0" borderId="97" xfId="0" applyFont="1" applyBorder="1" applyAlignment="1">
      <alignment horizontal="center" vertical="top" wrapText="1"/>
    </xf>
    <xf numFmtId="0" fontId="79" fillId="0" borderId="116" xfId="0" applyFont="1" applyBorder="1" applyAlignment="1">
      <alignment horizontal="left" vertical="top" wrapText="1"/>
    </xf>
    <xf numFmtId="0" fontId="79" fillId="0" borderId="102" xfId="0" applyFont="1" applyBorder="1" applyAlignment="1">
      <alignment horizontal="left" vertical="top" wrapText="1"/>
    </xf>
    <xf numFmtId="0" fontId="79" fillId="0" borderId="99" xfId="0" applyFont="1" applyBorder="1" applyAlignment="1">
      <alignment horizontal="left" vertical="top" wrapText="1"/>
    </xf>
    <xf numFmtId="0" fontId="79" fillId="0" borderId="117" xfId="0" applyFont="1" applyBorder="1" applyAlignment="1">
      <alignment horizontal="left" vertical="top" wrapText="1"/>
    </xf>
    <xf numFmtId="0" fontId="79" fillId="0" borderId="0" xfId="0" applyFont="1" applyAlignment="1">
      <alignment horizontal="left" vertical="top" wrapText="1"/>
    </xf>
    <xf numFmtId="0" fontId="79" fillId="0" borderId="84" xfId="0" applyFont="1" applyBorder="1" applyAlignment="1">
      <alignment horizontal="left" vertical="top" wrapText="1"/>
    </xf>
    <xf numFmtId="0" fontId="79" fillId="0" borderId="112" xfId="0" applyFont="1" applyBorder="1" applyAlignment="1">
      <alignment horizontal="left" vertical="top" wrapText="1"/>
    </xf>
    <xf numFmtId="0" fontId="79" fillId="0" borderId="118" xfId="0" applyFont="1" applyBorder="1" applyAlignment="1">
      <alignment horizontal="left" vertical="top" wrapText="1"/>
    </xf>
    <xf numFmtId="0" fontId="79" fillId="0" borderId="104" xfId="0" applyFont="1" applyBorder="1" applyAlignment="1">
      <alignment horizontal="left" vertical="top" wrapText="1"/>
    </xf>
    <xf numFmtId="0" fontId="36" fillId="9" borderId="72" xfId="0" applyFont="1" applyFill="1" applyBorder="1" applyAlignment="1">
      <alignment horizontal="center" vertical="top" wrapText="1"/>
    </xf>
    <xf numFmtId="0" fontId="36" fillId="9" borderId="67" xfId="0" applyFont="1" applyFill="1" applyBorder="1" applyAlignment="1">
      <alignment horizontal="center" vertical="top" wrapText="1"/>
    </xf>
    <xf numFmtId="169" fontId="0" fillId="0" borderId="25" xfId="0" applyNumberFormat="1" applyBorder="1" applyAlignment="1">
      <alignment horizontal="center"/>
    </xf>
    <xf numFmtId="0" fontId="0" fillId="0" borderId="1" xfId="0" applyBorder="1" applyAlignment="1">
      <alignment horizontal="center"/>
    </xf>
    <xf numFmtId="0" fontId="5" fillId="9" borderId="1" xfId="0" applyFont="1" applyFill="1" applyBorder="1" applyAlignment="1">
      <alignment horizontal="center" vertical="top" wrapText="1"/>
    </xf>
    <xf numFmtId="169" fontId="0" fillId="0" borderId="38" xfId="0" applyNumberFormat="1" applyBorder="1" applyAlignment="1">
      <alignment horizontal="center"/>
    </xf>
    <xf numFmtId="169" fontId="0" fillId="0" borderId="65" xfId="0" applyNumberFormat="1" applyBorder="1" applyAlignment="1">
      <alignment horizontal="center"/>
    </xf>
    <xf numFmtId="169" fontId="0" fillId="0" borderId="1" xfId="0" applyNumberFormat="1" applyBorder="1" applyAlignment="1">
      <alignment horizontal="center"/>
    </xf>
    <xf numFmtId="169" fontId="0" fillId="0" borderId="35" xfId="0" applyNumberFormat="1" applyBorder="1" applyAlignment="1">
      <alignment horizontal="center"/>
    </xf>
    <xf numFmtId="169" fontId="0" fillId="0" borderId="62" xfId="0" applyNumberFormat="1" applyBorder="1" applyAlignment="1">
      <alignment horizontal="center"/>
    </xf>
    <xf numFmtId="169" fontId="0" fillId="0" borderId="74" xfId="0" applyNumberFormat="1" applyBorder="1" applyAlignment="1">
      <alignment horizontal="center"/>
    </xf>
    <xf numFmtId="169" fontId="0" fillId="0" borderId="3" xfId="0" applyNumberFormat="1" applyBorder="1" applyAlignment="1">
      <alignment horizontal="center"/>
    </xf>
    <xf numFmtId="0" fontId="5" fillId="9" borderId="25" xfId="0" applyFont="1" applyFill="1" applyBorder="1" applyAlignment="1">
      <alignment horizontal="center" vertical="top" wrapText="1"/>
    </xf>
    <xf numFmtId="169" fontId="45" fillId="0" borderId="64" xfId="0" applyNumberFormat="1" applyFont="1" applyBorder="1" applyAlignment="1">
      <alignment horizontal="center"/>
    </xf>
    <xf numFmtId="169" fontId="45" fillId="0" borderId="65" xfId="0" applyNumberFormat="1" applyFont="1" applyBorder="1" applyAlignment="1">
      <alignment horizontal="center"/>
    </xf>
    <xf numFmtId="169" fontId="45" fillId="0" borderId="66" xfId="0" applyNumberFormat="1" applyFont="1" applyBorder="1" applyAlignment="1">
      <alignment horizontal="center"/>
    </xf>
    <xf numFmtId="169" fontId="45" fillId="0" borderId="76" xfId="2" applyNumberFormat="1" applyFont="1" applyBorder="1" applyAlignment="1">
      <alignment horizontal="center"/>
    </xf>
    <xf numFmtId="169" fontId="45" fillId="0" borderId="72" xfId="2" applyNumberFormat="1" applyFont="1" applyBorder="1" applyAlignment="1">
      <alignment horizontal="center"/>
    </xf>
    <xf numFmtId="169" fontId="45" fillId="0" borderId="67" xfId="2" applyNumberFormat="1" applyFont="1" applyBorder="1" applyAlignment="1">
      <alignment horizontal="center"/>
    </xf>
    <xf numFmtId="169" fontId="0" fillId="0" borderId="31" xfId="0" applyNumberFormat="1" applyBorder="1" applyAlignment="1">
      <alignment horizontal="center"/>
    </xf>
    <xf numFmtId="169" fontId="5" fillId="0" borderId="25" xfId="0" applyNumberFormat="1" applyFont="1" applyBorder="1" applyAlignment="1">
      <alignment horizontal="center"/>
    </xf>
    <xf numFmtId="0" fontId="5" fillId="0" borderId="1" xfId="0" applyFont="1" applyBorder="1" applyAlignment="1">
      <alignment horizontal="center"/>
    </xf>
    <xf numFmtId="169" fontId="0" fillId="0" borderId="34" xfId="0" applyNumberFormat="1" applyBorder="1" applyAlignment="1">
      <alignment horizontal="center"/>
    </xf>
    <xf numFmtId="169" fontId="0" fillId="0" borderId="66" xfId="0" applyNumberFormat="1" applyBorder="1" applyAlignment="1">
      <alignment horizontal="center"/>
    </xf>
    <xf numFmtId="169" fontId="5" fillId="0" borderId="1" xfId="0" applyNumberFormat="1" applyFont="1" applyBorder="1" applyAlignment="1">
      <alignment horizontal="center"/>
    </xf>
    <xf numFmtId="169" fontId="6" fillId="0" borderId="64" xfId="0" applyNumberFormat="1" applyFont="1" applyBorder="1" applyAlignment="1">
      <alignment horizontal="center"/>
    </xf>
    <xf numFmtId="169" fontId="6" fillId="0" borderId="65" xfId="0" applyNumberFormat="1" applyFont="1" applyBorder="1" applyAlignment="1">
      <alignment horizontal="center"/>
    </xf>
    <xf numFmtId="169" fontId="6" fillId="0" borderId="66" xfId="0" applyNumberFormat="1" applyFont="1" applyBorder="1" applyAlignment="1">
      <alignment horizontal="center"/>
    </xf>
    <xf numFmtId="169" fontId="44" fillId="0" borderId="61" xfId="0" applyNumberFormat="1" applyFont="1" applyBorder="1" applyAlignment="1">
      <alignment horizontal="center"/>
    </xf>
    <xf numFmtId="169" fontId="44" fillId="0" borderId="35" xfId="0" applyNumberFormat="1" applyFont="1" applyBorder="1" applyAlignment="1">
      <alignment horizontal="center"/>
    </xf>
    <xf numFmtId="169" fontId="44" fillId="0" borderId="60" xfId="0" applyNumberFormat="1" applyFont="1" applyBorder="1" applyAlignment="1">
      <alignment horizontal="center"/>
    </xf>
    <xf numFmtId="169" fontId="44" fillId="0" borderId="3" xfId="0" applyNumberFormat="1" applyFont="1" applyBorder="1" applyAlignment="1">
      <alignment horizontal="center"/>
    </xf>
    <xf numFmtId="169" fontId="44" fillId="0" borderId="31" xfId="0" applyNumberFormat="1" applyFont="1" applyBorder="1" applyAlignment="1">
      <alignment horizontal="center"/>
    </xf>
    <xf numFmtId="169" fontId="0" fillId="0" borderId="64" xfId="0" applyNumberFormat="1" applyBorder="1" applyAlignment="1">
      <alignment horizontal="center"/>
    </xf>
    <xf numFmtId="169" fontId="0" fillId="0" borderId="63" xfId="0" applyNumberFormat="1" applyBorder="1" applyAlignment="1">
      <alignment horizontal="center"/>
    </xf>
    <xf numFmtId="169" fontId="0" fillId="0" borderId="4" xfId="0" applyNumberFormat="1" applyBorder="1" applyAlignment="1">
      <alignment horizontal="center"/>
    </xf>
    <xf numFmtId="169" fontId="0" fillId="0" borderId="57" xfId="0" applyNumberFormat="1" applyBorder="1" applyAlignment="1">
      <alignment horizontal="center"/>
    </xf>
    <xf numFmtId="169" fontId="0" fillId="0" borderId="60" xfId="0" applyNumberFormat="1" applyBorder="1" applyAlignment="1">
      <alignment horizontal="center"/>
    </xf>
    <xf numFmtId="0" fontId="5" fillId="9" borderId="1" xfId="0" applyFont="1" applyFill="1" applyBorder="1" applyAlignment="1">
      <alignment horizontal="center"/>
    </xf>
    <xf numFmtId="0" fontId="5" fillId="9" borderId="37" xfId="0" applyFont="1" applyFill="1" applyBorder="1" applyAlignment="1">
      <alignment horizontal="center" vertical="top"/>
    </xf>
    <xf numFmtId="0" fontId="5" fillId="9" borderId="19" xfId="0" applyFont="1" applyFill="1" applyBorder="1" applyAlignment="1">
      <alignment horizontal="center" vertical="top"/>
    </xf>
    <xf numFmtId="0" fontId="5" fillId="9" borderId="34" xfId="0" applyFont="1" applyFill="1" applyBorder="1" applyAlignment="1">
      <alignment horizontal="center" vertical="top" wrapText="1"/>
    </xf>
  </cellXfs>
  <cellStyles count="15">
    <cellStyle name="Hypertextový odkaz" xfId="1" builtinId="8"/>
    <cellStyle name="Normální" xfId="0" builtinId="0"/>
    <cellStyle name="Procenta" xfId="2" builtinId="5"/>
    <cellStyle name="STCisRadku1" xfId="3" xr:uid="{00000000-0005-0000-0000-000003000000}"/>
    <cellStyle name="STCisRadku2" xfId="4" xr:uid="{00000000-0005-0000-0000-000004000000}"/>
    <cellStyle name="STCisRadku3" xfId="5" xr:uid="{00000000-0005-0000-0000-000005000000}"/>
    <cellStyle name="STCisRadku4" xfId="6" xr:uid="{00000000-0005-0000-0000-000006000000}"/>
    <cellStyle name="STEdit" xfId="7" xr:uid="{00000000-0005-0000-0000-000007000000}"/>
    <cellStyle name="STNazRadku1" xfId="8" xr:uid="{00000000-0005-0000-0000-000008000000}"/>
    <cellStyle name="STNazRadku2" xfId="9" xr:uid="{00000000-0005-0000-0000-000009000000}"/>
    <cellStyle name="STNonEdit" xfId="10" xr:uid="{00000000-0005-0000-0000-00000A000000}"/>
    <cellStyle name="STNonEdit2" xfId="11" xr:uid="{00000000-0005-0000-0000-00000B000000}"/>
    <cellStyle name="STNormální" xfId="12" xr:uid="{00000000-0005-0000-0000-00000C000000}"/>
    <cellStyle name="STPopis1" xfId="13" xr:uid="{00000000-0005-0000-0000-00000D000000}"/>
    <cellStyle name="STPopis2b"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cs-CZ"/>
              <a:t>Závislost trhu na čase</a:t>
            </a:r>
          </a:p>
        </c:rich>
      </c:tx>
      <c:layout>
        <c:manualLayout>
          <c:xMode val="edge"/>
          <c:yMode val="edge"/>
          <c:x val="0.19715002566827905"/>
          <c:y val="4.3636386306818535E-2"/>
        </c:manualLayout>
      </c:layout>
      <c:overlay val="0"/>
      <c:spPr>
        <a:noFill/>
        <a:ln w="25400">
          <a:noFill/>
        </a:ln>
      </c:spPr>
    </c:title>
    <c:autoTitleDeleted val="0"/>
    <c:plotArea>
      <c:layout>
        <c:manualLayout>
          <c:layoutTarget val="inner"/>
          <c:xMode val="edge"/>
          <c:yMode val="edge"/>
          <c:x val="0.21377697003155852"/>
          <c:y val="0.21454545454545459"/>
          <c:w val="0.71971579910624706"/>
          <c:h val="0.63636363636363646"/>
        </c:manualLayout>
      </c:layout>
      <c:scatterChart>
        <c:scatterStyle val="lineMarker"/>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1"/>
            <c:dispEq val="1"/>
            <c:trendlineLbl>
              <c:layout>
                <c:manualLayout>
                  <c:x val="0.22243874477496928"/>
                  <c:y val="-0.2"/>
                </c:manualLayout>
              </c:layout>
              <c:numFmt formatCode="0.000" sourceLinked="0"/>
              <c:spPr>
                <a:solidFill>
                  <a:srgbClr val="FFFF99"/>
                </a:solidFill>
                <a:ln w="25400">
                  <a:noFill/>
                </a:ln>
              </c:spPr>
              <c:txPr>
                <a:bodyPr/>
                <a:lstStyle/>
                <a:p>
                  <a:pPr>
                    <a:defRPr sz="800" b="0" i="0" u="none" strike="noStrike" baseline="0">
                      <a:solidFill>
                        <a:srgbClr val="000000"/>
                      </a:solidFill>
                      <a:latin typeface="Arial"/>
                      <a:ea typeface="Arial"/>
                      <a:cs typeface="Arial"/>
                    </a:defRPr>
                  </a:pPr>
                  <a:endParaRPr lang="cs-CZ"/>
                </a:p>
              </c:txPr>
            </c:trendlineLbl>
          </c:trendline>
          <c:xVal>
            <c:numRef>
              <c:f>'1 Regrese - Čas lin'!$C$5:$C$25</c:f>
              <c:numCache>
                <c:formatCode>General</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numCache>
            </c:numRef>
          </c:xVal>
          <c:yVal>
            <c:numRef>
              <c:f>'1 Regrese - Čas lin'!$B$5:$B$25</c:f>
              <c:numCache>
                <c:formatCode>#\ ##0.0</c:formatCode>
                <c:ptCount val="21"/>
                <c:pt idx="0">
                  <c:v>205.220527535</c:v>
                </c:pt>
                <c:pt idx="1">
                  <c:v>232.79688650400001</c:v>
                </c:pt>
                <c:pt idx="2">
                  <c:v>250.01787313</c:v>
                </c:pt>
                <c:pt idx="3">
                  <c:v>265.66100411500003</c:v>
                </c:pt>
                <c:pt idx="4">
                  <c:v>262.15957808000002</c:v>
                </c:pt>
                <c:pt idx="5">
                  <c:v>265.36956999900002</c:v>
                </c:pt>
                <c:pt idx="6">
                  <c:v>277.93443532800001</c:v>
                </c:pt>
                <c:pt idx="7">
                  <c:v>280.52128499999998</c:v>
                </c:pt>
                <c:pt idx="8">
                  <c:v>285.901269275</c:v>
                </c:pt>
                <c:pt idx="9">
                  <c:v>292.50999933399999</c:v>
                </c:pt>
                <c:pt idx="10">
                  <c:v>298.40565453599999</c:v>
                </c:pt>
                <c:pt idx="11">
                  <c:v>318.77935830000001</c:v>
                </c:pt>
                <c:pt idx="12">
                  <c:v>334.38286477700001</c:v>
                </c:pt>
                <c:pt idx="13">
                  <c:v>363.53734435199999</c:v>
                </c:pt>
                <c:pt idx="14">
                  <c:v>376.18293715200002</c:v>
                </c:pt>
                <c:pt idx="15">
                  <c:v>368.08261050599998</c:v>
                </c:pt>
                <c:pt idx="16">
                  <c:v>370.31209148800002</c:v>
                </c:pt>
                <c:pt idx="17">
                  <c:v>385.34398976199998</c:v>
                </c:pt>
                <c:pt idx="18">
                  <c:v>392.73301543500003</c:v>
                </c:pt>
                <c:pt idx="19">
                  <c:v>401.75201667599998</c:v>
                </c:pt>
                <c:pt idx="20">
                  <c:v>403.96336567200001</c:v>
                </c:pt>
              </c:numCache>
            </c:numRef>
          </c:yVal>
          <c:smooth val="0"/>
          <c:extLst>
            <c:ext xmlns:c16="http://schemas.microsoft.com/office/drawing/2014/chart" uri="{C3380CC4-5D6E-409C-BE32-E72D297353CC}">
              <c16:uniqueId val="{00000001-E7E7-4DFA-8649-CB79D127AB15}"/>
            </c:ext>
          </c:extLst>
        </c:ser>
        <c:dLbls>
          <c:showLegendKey val="0"/>
          <c:showVal val="0"/>
          <c:showCatName val="0"/>
          <c:showSerName val="0"/>
          <c:showPercent val="0"/>
          <c:showBubbleSize val="0"/>
        </c:dLbls>
        <c:axId val="291789440"/>
        <c:axId val="291808000"/>
      </c:scatterChart>
      <c:valAx>
        <c:axId val="29178944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cs-CZ"/>
                  <a:t>Pořadové číslo roku</a:t>
                </a:r>
              </a:p>
            </c:rich>
          </c:tx>
          <c:overlay val="0"/>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291808000"/>
        <c:crosses val="autoZero"/>
        <c:crossBetween val="midCat"/>
      </c:valAx>
      <c:valAx>
        <c:axId val="2918080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cs-CZ"/>
                  <a:t>Trh za ČR (mld. Kč)</a:t>
                </a:r>
              </a:p>
            </c:rich>
          </c:tx>
          <c:layout>
            <c:manualLayout>
              <c:xMode val="edge"/>
              <c:yMode val="edge"/>
              <c:x val="4.7505838629675425E-2"/>
              <c:y val="0.34545445477272585"/>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291789440"/>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450000006" footer="0.4921259845000000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cs-CZ"/>
              <a:t>Závislost trhu na HDP</a:t>
            </a:r>
          </a:p>
        </c:rich>
      </c:tx>
      <c:layout>
        <c:manualLayout>
          <c:xMode val="edge"/>
          <c:yMode val="edge"/>
          <c:x val="1.8469656992084433E-2"/>
          <c:y val="1.8315034564341429E-2"/>
        </c:manualLayout>
      </c:layout>
      <c:overlay val="0"/>
      <c:spPr>
        <a:noFill/>
        <a:ln w="25400">
          <a:noFill/>
        </a:ln>
      </c:spPr>
    </c:title>
    <c:autoTitleDeleted val="0"/>
    <c:plotArea>
      <c:layout>
        <c:manualLayout>
          <c:layoutTarget val="inner"/>
          <c:xMode val="edge"/>
          <c:yMode val="edge"/>
          <c:x val="0.2401058502353158"/>
          <c:y val="0.21245497243794517"/>
          <c:w val="0.67810113747776013"/>
          <c:h val="0.54212648139337738"/>
        </c:manualLayout>
      </c:layout>
      <c:scatterChart>
        <c:scatterStyle val="lineMarker"/>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1"/>
            <c:dispEq val="1"/>
            <c:trendlineLbl>
              <c:layout>
                <c:manualLayout>
                  <c:x val="0.1018486601574483"/>
                  <c:y val="-0.21978091029584038"/>
                </c:manualLayout>
              </c:layout>
              <c:numFmt formatCode="General" sourceLinked="0"/>
              <c:spPr>
                <a:solidFill>
                  <a:srgbClr val="FFFF99"/>
                </a:solidFill>
                <a:ln w="25400">
                  <a:noFill/>
                </a:ln>
              </c:spPr>
              <c:txPr>
                <a:bodyPr/>
                <a:lstStyle/>
                <a:p>
                  <a:pPr>
                    <a:defRPr sz="900" b="0" i="0" u="none" strike="noStrike" baseline="0">
                      <a:solidFill>
                        <a:srgbClr val="000000"/>
                      </a:solidFill>
                      <a:latin typeface="Arial"/>
                      <a:ea typeface="Arial"/>
                      <a:cs typeface="Arial"/>
                    </a:defRPr>
                  </a:pPr>
                  <a:endParaRPr lang="cs-CZ"/>
                </a:p>
              </c:txPr>
            </c:trendlineLbl>
          </c:trendline>
          <c:xVal>
            <c:numRef>
              <c:f>'3 Regrese - SP lin'!$C$5:$C$25</c:f>
              <c:numCache>
                <c:formatCode>#\ ##0.0</c:formatCode>
                <c:ptCount val="21"/>
                <c:pt idx="0">
                  <c:v>769.5</c:v>
                </c:pt>
                <c:pt idx="1">
                  <c:v>892</c:v>
                </c:pt>
                <c:pt idx="2">
                  <c:v>997.4</c:v>
                </c:pt>
                <c:pt idx="3">
                  <c:v>1075.0999999999999</c:v>
                </c:pt>
                <c:pt idx="4">
                  <c:v>1132.9000000000001</c:v>
                </c:pt>
                <c:pt idx="5">
                  <c:v>1191.0999999999999</c:v>
                </c:pt>
                <c:pt idx="6">
                  <c:v>1270.0999999999999</c:v>
                </c:pt>
                <c:pt idx="7">
                  <c:v>1325.4</c:v>
                </c:pt>
                <c:pt idx="8">
                  <c:v>1390.4</c:v>
                </c:pt>
                <c:pt idx="9">
                  <c:v>1481.5</c:v>
                </c:pt>
                <c:pt idx="10">
                  <c:v>1544.7</c:v>
                </c:pt>
                <c:pt idx="11">
                  <c:v>1631</c:v>
                </c:pt>
                <c:pt idx="12">
                  <c:v>1749.5</c:v>
                </c:pt>
                <c:pt idx="13">
                  <c:v>1887</c:v>
                </c:pt>
                <c:pt idx="14">
                  <c:v>1890.9</c:v>
                </c:pt>
                <c:pt idx="15">
                  <c:v>1919.9</c:v>
                </c:pt>
                <c:pt idx="16">
                  <c:v>1952</c:v>
                </c:pt>
                <c:pt idx="17">
                  <c:v>1970.4</c:v>
                </c:pt>
                <c:pt idx="18">
                  <c:v>1996.6</c:v>
                </c:pt>
                <c:pt idx="19">
                  <c:v>2044.3</c:v>
                </c:pt>
                <c:pt idx="20">
                  <c:v>2109.5</c:v>
                </c:pt>
              </c:numCache>
            </c:numRef>
          </c:xVal>
          <c:yVal>
            <c:numRef>
              <c:f>'3 Regrese - SP lin'!$B$5:$B$25</c:f>
              <c:numCache>
                <c:formatCode>#\ ##0.0</c:formatCode>
                <c:ptCount val="21"/>
                <c:pt idx="0">
                  <c:v>205.220527535</c:v>
                </c:pt>
                <c:pt idx="1">
                  <c:v>232.79688650400001</c:v>
                </c:pt>
                <c:pt idx="2">
                  <c:v>250.01787313</c:v>
                </c:pt>
                <c:pt idx="3">
                  <c:v>265.66100411500003</c:v>
                </c:pt>
                <c:pt idx="4">
                  <c:v>262.15957808000002</c:v>
                </c:pt>
                <c:pt idx="5">
                  <c:v>265.36956999900002</c:v>
                </c:pt>
                <c:pt idx="6">
                  <c:v>277.93443532800001</c:v>
                </c:pt>
                <c:pt idx="7">
                  <c:v>280.52128499999998</c:v>
                </c:pt>
                <c:pt idx="8">
                  <c:v>285.901269275</c:v>
                </c:pt>
                <c:pt idx="9">
                  <c:v>292.50999933399999</c:v>
                </c:pt>
                <c:pt idx="10">
                  <c:v>298.40565453599999</c:v>
                </c:pt>
                <c:pt idx="11">
                  <c:v>318.77935830000001</c:v>
                </c:pt>
                <c:pt idx="12">
                  <c:v>334.38286477700001</c:v>
                </c:pt>
                <c:pt idx="13">
                  <c:v>363.53734435199999</c:v>
                </c:pt>
                <c:pt idx="14">
                  <c:v>376.18293715200002</c:v>
                </c:pt>
                <c:pt idx="15">
                  <c:v>368.08261050599998</c:v>
                </c:pt>
                <c:pt idx="16">
                  <c:v>370.31209148800002</c:v>
                </c:pt>
                <c:pt idx="17">
                  <c:v>385.34398976199998</c:v>
                </c:pt>
                <c:pt idx="18">
                  <c:v>392.73301543500003</c:v>
                </c:pt>
                <c:pt idx="19">
                  <c:v>401.75201667599998</c:v>
                </c:pt>
                <c:pt idx="20">
                  <c:v>403.96336567200001</c:v>
                </c:pt>
              </c:numCache>
            </c:numRef>
          </c:yVal>
          <c:smooth val="0"/>
          <c:extLst>
            <c:ext xmlns:c16="http://schemas.microsoft.com/office/drawing/2014/chart" uri="{C3380CC4-5D6E-409C-BE32-E72D297353CC}">
              <c16:uniqueId val="{00000001-57CE-4C7C-A451-E2AA643453C6}"/>
            </c:ext>
          </c:extLst>
        </c:ser>
        <c:dLbls>
          <c:showLegendKey val="0"/>
          <c:showVal val="0"/>
          <c:showCatName val="0"/>
          <c:showSerName val="0"/>
          <c:showPercent val="0"/>
          <c:showBubbleSize val="0"/>
        </c:dLbls>
        <c:axId val="293230080"/>
        <c:axId val="293232000"/>
      </c:scatterChart>
      <c:valAx>
        <c:axId val="293230080"/>
        <c:scaling>
          <c:orientation val="minMax"/>
          <c:min val="500"/>
        </c:scaling>
        <c:delete val="0"/>
        <c:axPos val="b"/>
        <c:title>
          <c:tx>
            <c:rich>
              <a:bodyPr/>
              <a:lstStyle/>
              <a:p>
                <a:pPr>
                  <a:defRPr sz="900" b="1" i="0" u="none" strike="noStrike" baseline="0">
                    <a:solidFill>
                      <a:srgbClr val="000000"/>
                    </a:solidFill>
                    <a:latin typeface="Arial"/>
                    <a:ea typeface="Arial"/>
                    <a:cs typeface="Arial"/>
                  </a:defRPr>
                </a:pPr>
                <a:r>
                  <a:rPr lang="cs-CZ"/>
                  <a:t>Spotřeba domácností b.c. (mld. Kč)</a:t>
                </a:r>
              </a:p>
            </c:rich>
          </c:tx>
          <c:layout>
            <c:manualLayout>
              <c:xMode val="edge"/>
              <c:yMode val="edge"/>
              <c:x val="0.25945525938545283"/>
              <c:y val="0.85821226572030607"/>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cs-CZ"/>
          </a:p>
        </c:txPr>
        <c:crossAx val="293232000"/>
        <c:crosses val="autoZero"/>
        <c:crossBetween val="midCat"/>
      </c:valAx>
      <c:valAx>
        <c:axId val="293232000"/>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cs-CZ"/>
                  <a:t>Trh (mld. Kč)     .</a:t>
                </a:r>
              </a:p>
            </c:rich>
          </c:tx>
          <c:layout>
            <c:manualLayout>
              <c:xMode val="edge"/>
              <c:yMode val="edge"/>
              <c:x val="3.6939313984168873E-2"/>
              <c:y val="0.3003674540682415"/>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293230080"/>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450000006" footer="0.49212598450000006"/>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cs-CZ"/>
              <a:t>Srovnání alternativních prognóz trhu</a:t>
            </a:r>
          </a:p>
        </c:rich>
      </c:tx>
      <c:overlay val="0"/>
    </c:title>
    <c:autoTitleDeleted val="0"/>
    <c:plotArea>
      <c:layout/>
      <c:lineChart>
        <c:grouping val="standard"/>
        <c:varyColors val="0"/>
        <c:ser>
          <c:idx val="0"/>
          <c:order val="0"/>
          <c:tx>
            <c:v>Trh ČR - skutečnost</c:v>
          </c:tx>
          <c:spPr>
            <a:ln w="38100">
              <a:solidFill>
                <a:srgbClr val="C00000"/>
              </a:solidFill>
            </a:ln>
          </c:spPr>
          <c:marker>
            <c:symbol val="none"/>
          </c:marker>
          <c:cat>
            <c:numRef>
              <c:f>'4 Vnější potenciál'!$A$4:$A$30</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'4 Vnější potenciál'!$H$4:$H$24</c:f>
              <c:numCache>
                <c:formatCode>#\ ##0.0</c:formatCode>
                <c:ptCount val="21"/>
                <c:pt idx="0">
                  <c:v>205.220527535</c:v>
                </c:pt>
                <c:pt idx="1">
                  <c:v>232.79688650400001</c:v>
                </c:pt>
                <c:pt idx="2">
                  <c:v>250.01787313</c:v>
                </c:pt>
                <c:pt idx="3">
                  <c:v>265.66100411500003</c:v>
                </c:pt>
                <c:pt idx="4">
                  <c:v>262.15957808000002</c:v>
                </c:pt>
                <c:pt idx="5">
                  <c:v>265.36956999900002</c:v>
                </c:pt>
                <c:pt idx="6">
                  <c:v>277.93443532800001</c:v>
                </c:pt>
                <c:pt idx="7">
                  <c:v>280.52128499999998</c:v>
                </c:pt>
                <c:pt idx="8">
                  <c:v>285.901269275</c:v>
                </c:pt>
                <c:pt idx="9">
                  <c:v>292.50999933399999</c:v>
                </c:pt>
                <c:pt idx="10">
                  <c:v>298.40565453599999</c:v>
                </c:pt>
                <c:pt idx="11">
                  <c:v>318.77935830000001</c:v>
                </c:pt>
                <c:pt idx="12">
                  <c:v>334.38286477700001</c:v>
                </c:pt>
                <c:pt idx="13">
                  <c:v>363.53734435199999</c:v>
                </c:pt>
                <c:pt idx="14">
                  <c:v>376.18293715200002</c:v>
                </c:pt>
                <c:pt idx="15">
                  <c:v>368.08261050599998</c:v>
                </c:pt>
                <c:pt idx="16">
                  <c:v>370.31209148800002</c:v>
                </c:pt>
                <c:pt idx="17">
                  <c:v>385.34398976199998</c:v>
                </c:pt>
                <c:pt idx="18">
                  <c:v>392.73301543500003</c:v>
                </c:pt>
                <c:pt idx="19">
                  <c:v>401.75201667599998</c:v>
                </c:pt>
                <c:pt idx="20">
                  <c:v>403.96336567200001</c:v>
                </c:pt>
              </c:numCache>
            </c:numRef>
          </c:val>
          <c:smooth val="0"/>
          <c:extLst>
            <c:ext xmlns:c16="http://schemas.microsoft.com/office/drawing/2014/chart" uri="{C3380CC4-5D6E-409C-BE32-E72D297353CC}">
              <c16:uniqueId val="{00000000-46C8-423E-BF08-A6CD1E3F3AB3}"/>
            </c:ext>
          </c:extLst>
        </c:ser>
        <c:ser>
          <c:idx val="1"/>
          <c:order val="1"/>
          <c:tx>
            <c:v>Čas - lineární</c:v>
          </c:tx>
          <c:spPr>
            <a:ln w="25400">
              <a:solidFill>
                <a:srgbClr val="9BBB59">
                  <a:lumMod val="75000"/>
                  <a:alpha val="50000"/>
                </a:srgbClr>
              </a:solidFill>
            </a:ln>
          </c:spPr>
          <c:marker>
            <c:symbol val="none"/>
          </c:marker>
          <c:cat>
            <c:numRef>
              <c:f>'4 Vnější potenciál'!$A$4:$A$30</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'4 Vnější potenciál'!$J$4:$J$30</c:f>
              <c:numCache>
                <c:formatCode>#\ ##0.0</c:formatCode>
                <c:ptCount val="27"/>
                <c:pt idx="0">
                  <c:v>219.48657843696967</c:v>
                </c:pt>
                <c:pt idx="1">
                  <c:v>229.11681429306319</c:v>
                </c:pt>
                <c:pt idx="2">
                  <c:v>238.74705014915668</c:v>
                </c:pt>
                <c:pt idx="3">
                  <c:v>248.3772860052502</c:v>
                </c:pt>
                <c:pt idx="4">
                  <c:v>258.00752186134372</c:v>
                </c:pt>
                <c:pt idx="5">
                  <c:v>267.63775771743718</c:v>
                </c:pt>
                <c:pt idx="6">
                  <c:v>277.2679935735307</c:v>
                </c:pt>
                <c:pt idx="7">
                  <c:v>286.89822942962422</c:v>
                </c:pt>
                <c:pt idx="8">
                  <c:v>296.52846528571774</c:v>
                </c:pt>
                <c:pt idx="9">
                  <c:v>306.15870114181121</c:v>
                </c:pt>
                <c:pt idx="10">
                  <c:v>315.78893699790473</c:v>
                </c:pt>
                <c:pt idx="11">
                  <c:v>325.41917285399825</c:v>
                </c:pt>
                <c:pt idx="12">
                  <c:v>335.04940871009171</c:v>
                </c:pt>
                <c:pt idx="13">
                  <c:v>344.67964456618523</c:v>
                </c:pt>
                <c:pt idx="14">
                  <c:v>354.30988042227875</c:v>
                </c:pt>
                <c:pt idx="15">
                  <c:v>363.94011627837222</c:v>
                </c:pt>
                <c:pt idx="16">
                  <c:v>373.57035213446574</c:v>
                </c:pt>
                <c:pt idx="17">
                  <c:v>383.20058799055926</c:v>
                </c:pt>
                <c:pt idx="18">
                  <c:v>392.83082384665272</c:v>
                </c:pt>
                <c:pt idx="19">
                  <c:v>402.4610597027463</c:v>
                </c:pt>
                <c:pt idx="20">
                  <c:v>412.09129555883976</c:v>
                </c:pt>
                <c:pt idx="21">
                  <c:v>421.72153141493328</c:v>
                </c:pt>
                <c:pt idx="22">
                  <c:v>431.3517672710268</c:v>
                </c:pt>
                <c:pt idx="23">
                  <c:v>440.98200312712027</c:v>
                </c:pt>
                <c:pt idx="24">
                  <c:v>450.61223898321379</c:v>
                </c:pt>
                <c:pt idx="25">
                  <c:v>460.24247483930731</c:v>
                </c:pt>
                <c:pt idx="26">
                  <c:v>469.87271069540077</c:v>
                </c:pt>
              </c:numCache>
            </c:numRef>
          </c:val>
          <c:smooth val="0"/>
          <c:extLst>
            <c:ext xmlns:c16="http://schemas.microsoft.com/office/drawing/2014/chart" uri="{C3380CC4-5D6E-409C-BE32-E72D297353CC}">
              <c16:uniqueId val="{00000001-46C8-423E-BF08-A6CD1E3F3AB3}"/>
            </c:ext>
          </c:extLst>
        </c:ser>
        <c:ser>
          <c:idx val="2"/>
          <c:order val="2"/>
          <c:tx>
            <c:v>SD - exponenciální</c:v>
          </c:tx>
          <c:spPr>
            <a:ln w="25400">
              <a:solidFill>
                <a:srgbClr val="8064A2">
                  <a:lumMod val="75000"/>
                  <a:alpha val="50000"/>
                </a:srgbClr>
              </a:solidFill>
            </a:ln>
          </c:spPr>
          <c:marker>
            <c:symbol val="none"/>
          </c:marker>
          <c:cat>
            <c:numRef>
              <c:f>'4 Vnější potenciál'!$A$4:$A$30</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'4 Vnější potenciál'!$L$4:$L$30</c:f>
              <c:numCache>
                <c:formatCode>#\ ##0.0</c:formatCode>
                <c:ptCount val="27"/>
                <c:pt idx="0">
                  <c:v>217.34732925947642</c:v>
                </c:pt>
                <c:pt idx="1">
                  <c:v>230.07758914852243</c:v>
                </c:pt>
                <c:pt idx="2">
                  <c:v>241.62597328667519</c:v>
                </c:pt>
                <c:pt idx="3">
                  <c:v>250.50890326548992</c:v>
                </c:pt>
                <c:pt idx="4">
                  <c:v>257.32795841483789</c:v>
                </c:pt>
                <c:pt idx="5">
                  <c:v>264.38176745525487</c:v>
                </c:pt>
                <c:pt idx="6">
                  <c:v>274.26689232378988</c:v>
                </c:pt>
                <c:pt idx="7">
                  <c:v>281.40557974450883</c:v>
                </c:pt>
                <c:pt idx="8">
                  <c:v>290.03435544093514</c:v>
                </c:pt>
                <c:pt idx="9">
                  <c:v>302.57501259471996</c:v>
                </c:pt>
                <c:pt idx="10">
                  <c:v>311.59219259332644</c:v>
                </c:pt>
                <c:pt idx="11">
                  <c:v>324.34078391838693</c:v>
                </c:pt>
                <c:pt idx="12">
                  <c:v>342.70022380634532</c:v>
                </c:pt>
                <c:pt idx="13">
                  <c:v>365.30981267851092</c:v>
                </c:pt>
                <c:pt idx="14">
                  <c:v>365.97240706000821</c:v>
                </c:pt>
                <c:pt idx="15">
                  <c:v>370.93723166176466</c:v>
                </c:pt>
                <c:pt idx="16">
                  <c:v>376.51135472386835</c:v>
                </c:pt>
                <c:pt idx="17">
                  <c:v>379.74417818516025</c:v>
                </c:pt>
                <c:pt idx="18">
                  <c:v>384.39539803065179</c:v>
                </c:pt>
                <c:pt idx="19">
                  <c:v>393.01022432162756</c:v>
                </c:pt>
                <c:pt idx="20">
                  <c:v>405.0987919537227</c:v>
                </c:pt>
                <c:pt idx="21">
                  <c:v>420.47965506829593</c:v>
                </c:pt>
                <c:pt idx="22">
                  <c:v>441.52342184016857</c:v>
                </c:pt>
                <c:pt idx="23">
                  <c:v>463.23276897295534</c:v>
                </c:pt>
                <c:pt idx="24">
                  <c:v>485.96438401906971</c:v>
                </c:pt>
                <c:pt idx="25">
                  <c:v>510.85483873491381</c:v>
                </c:pt>
                <c:pt idx="26">
                  <c:v>538.19421159104627</c:v>
                </c:pt>
              </c:numCache>
            </c:numRef>
          </c:val>
          <c:smooth val="0"/>
          <c:extLst>
            <c:ext xmlns:c16="http://schemas.microsoft.com/office/drawing/2014/chart" uri="{C3380CC4-5D6E-409C-BE32-E72D297353CC}">
              <c16:uniqueId val="{00000002-46C8-423E-BF08-A6CD1E3F3AB3}"/>
            </c:ext>
          </c:extLst>
        </c:ser>
        <c:ser>
          <c:idx val="3"/>
          <c:order val="3"/>
          <c:tx>
            <c:v>SD - lineární</c:v>
          </c:tx>
          <c:spPr>
            <a:ln>
              <a:solidFill>
                <a:srgbClr val="1F497D">
                  <a:lumMod val="75000"/>
                  <a:alpha val="70000"/>
                </a:srgbClr>
              </a:solidFill>
            </a:ln>
          </c:spPr>
          <c:marker>
            <c:symbol val="none"/>
          </c:marker>
          <c:cat>
            <c:numRef>
              <c:f>'4 Vnější potenciál'!$A$4:$A$30</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'4 Vnější potenciál'!$N$4:$N$30</c:f>
              <c:numCache>
                <c:formatCode>#\ ##0.0</c:formatCode>
                <c:ptCount val="27"/>
                <c:pt idx="0">
                  <c:v>206.86731451270052</c:v>
                </c:pt>
                <c:pt idx="1">
                  <c:v>224.31259576208183</c:v>
                </c:pt>
                <c:pt idx="2">
                  <c:v>239.32265815950868</c:v>
                </c:pt>
                <c:pt idx="3">
                  <c:v>250.38795083768767</c:v>
                </c:pt>
                <c:pt idx="4">
                  <c:v>258.61927537821214</c:v>
                </c:pt>
                <c:pt idx="5">
                  <c:v>266.90756410240795</c:v>
                </c:pt>
                <c:pt idx="6">
                  <c:v>278.15799037751913</c:v>
                </c:pt>
                <c:pt idx="7">
                  <c:v>286.03328877009704</c:v>
                </c:pt>
                <c:pt idx="8">
                  <c:v>295.28996861670754</c:v>
                </c:pt>
                <c:pt idx="9">
                  <c:v>308.26356144788008</c:v>
                </c:pt>
                <c:pt idx="10">
                  <c:v>317.26390246796905</c:v>
                </c:pt>
                <c:pt idx="11">
                  <c:v>329.5539250950842</c:v>
                </c:pt>
                <c:pt idx="12">
                  <c:v>346.42956450775102</c:v>
                </c:pt>
                <c:pt idx="13">
                  <c:v>366.0110026448117</c:v>
                </c:pt>
                <c:pt idx="14">
                  <c:v>366.56640343560832</c:v>
                </c:pt>
                <c:pt idx="15">
                  <c:v>370.69630675178837</c:v>
                </c:pt>
                <c:pt idx="16">
                  <c:v>375.26768249142219</c:v>
                </c:pt>
                <c:pt idx="17">
                  <c:v>377.88803494030884</c:v>
                </c:pt>
                <c:pt idx="18">
                  <c:v>381.61918897078874</c:v>
                </c:pt>
                <c:pt idx="19">
                  <c:v>388.41216787360906</c:v>
                </c:pt>
                <c:pt idx="20">
                  <c:v>397.69732981205527</c:v>
                </c:pt>
                <c:pt idx="21">
                  <c:v>409.11864863818084</c:v>
                </c:pt>
                <c:pt idx="22">
                  <c:v>424.08598789785412</c:v>
                </c:pt>
                <c:pt idx="23">
                  <c:v>438.79698833100588</c:v>
                </c:pt>
                <c:pt idx="24">
                  <c:v>453.47950667232186</c:v>
                </c:pt>
                <c:pt idx="25">
                  <c:v>468.78863103402387</c:v>
                </c:pt>
                <c:pt idx="26">
                  <c:v>484.7670845538654</c:v>
                </c:pt>
              </c:numCache>
            </c:numRef>
          </c:val>
          <c:smooth val="0"/>
          <c:extLst>
            <c:ext xmlns:c16="http://schemas.microsoft.com/office/drawing/2014/chart" uri="{C3380CC4-5D6E-409C-BE32-E72D297353CC}">
              <c16:uniqueId val="{00000003-46C8-423E-BF08-A6CD1E3F3AB3}"/>
            </c:ext>
          </c:extLst>
        </c:ser>
        <c:dLbls>
          <c:showLegendKey val="0"/>
          <c:showVal val="0"/>
          <c:showCatName val="0"/>
          <c:showSerName val="0"/>
          <c:showPercent val="0"/>
          <c:showBubbleSize val="0"/>
        </c:dLbls>
        <c:smooth val="0"/>
        <c:axId val="293121024"/>
        <c:axId val="293339904"/>
      </c:lineChart>
      <c:catAx>
        <c:axId val="29312102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cs-CZ"/>
          </a:p>
        </c:txPr>
        <c:crossAx val="293339904"/>
        <c:crosses val="autoZero"/>
        <c:auto val="1"/>
        <c:lblAlgn val="ctr"/>
        <c:lblOffset val="100"/>
        <c:noMultiLvlLbl val="0"/>
      </c:catAx>
      <c:valAx>
        <c:axId val="293339904"/>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cs-CZ"/>
                  <a:t>Velikost trhu ČR (mld. Kč)</a:t>
                </a:r>
              </a:p>
            </c:rich>
          </c:tx>
          <c:overlay val="0"/>
        </c:title>
        <c:numFmt formatCode="#\ ##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s-CZ"/>
          </a:p>
        </c:txPr>
        <c:crossAx val="293121024"/>
        <c:crosses val="autoZero"/>
        <c:crossBetween val="midCat"/>
      </c:valAx>
    </c:plotArea>
    <c:legend>
      <c:legendPos val="r"/>
      <c:overlay val="0"/>
      <c:txPr>
        <a:bodyPr/>
        <a:lstStyle/>
        <a:p>
          <a:pPr>
            <a:defRPr sz="710" b="0" i="0" u="none" strike="noStrike" baseline="0">
              <a:solidFill>
                <a:srgbClr val="000000"/>
              </a:solidFill>
              <a:latin typeface="Calibri"/>
              <a:ea typeface="Calibri"/>
              <a:cs typeface="Calibri"/>
            </a:defRPr>
          </a:pPr>
          <a:endParaRPr lang="cs-CZ"/>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s-CZ"/>
    </a:p>
  </c:txPr>
  <c:printSettings>
    <c:headerFooter/>
    <c:pageMargins b="0.78740157499999996" l="0.70000000000000007" r="0.70000000000000007" t="0.78740157499999996"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CE"/>
                <a:ea typeface="Arial CE"/>
                <a:cs typeface="Arial CE"/>
              </a:defRPr>
            </a:pPr>
            <a:r>
              <a:rPr lang="cs-CZ"/>
              <a:t>Vývoj tržního podílu podniku UNIPO v čase</a:t>
            </a:r>
          </a:p>
        </c:rich>
      </c:tx>
      <c:layout>
        <c:manualLayout>
          <c:xMode val="edge"/>
          <c:yMode val="edge"/>
          <c:x val="0.2736323631187893"/>
          <c:y val="3.3434650455927049E-2"/>
        </c:manualLayout>
      </c:layout>
      <c:overlay val="0"/>
      <c:spPr>
        <a:noFill/>
        <a:ln w="25400">
          <a:noFill/>
        </a:ln>
      </c:spPr>
    </c:title>
    <c:autoTitleDeleted val="0"/>
    <c:plotArea>
      <c:layout>
        <c:manualLayout>
          <c:layoutTarget val="inner"/>
          <c:xMode val="edge"/>
          <c:yMode val="edge"/>
          <c:x val="0.1293534433196053"/>
          <c:y val="0.18541033434650461"/>
          <c:w val="0.84743089149126027"/>
          <c:h val="0.62310030395136762"/>
        </c:manualLayout>
      </c:layout>
      <c:lineChart>
        <c:grouping val="standard"/>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dLbls>
            <c:spPr>
              <a:noFill/>
              <a:ln w="25400">
                <a:noFill/>
              </a:ln>
            </c:spPr>
            <c:txPr>
              <a:bodyPr/>
              <a:lstStyle/>
              <a:p>
                <a:pPr>
                  <a:defRPr sz="800" b="0" i="0" u="none" strike="noStrike" baseline="0">
                    <a:solidFill>
                      <a:srgbClr val="000000"/>
                    </a:solidFill>
                    <a:latin typeface="Arial CE"/>
                    <a:ea typeface="Arial CE"/>
                    <a:cs typeface="Arial CE"/>
                  </a:defRPr>
                </a:pPr>
                <a:endParaRPr lang="cs-CZ"/>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 Tržby UNIPO'!$A$4:$A$20</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'6 Tržby UNIPO'!$D$4:$D$20</c:f>
              <c:numCache>
                <c:formatCode>0.0%</c:formatCode>
                <c:ptCount val="17"/>
                <c:pt idx="0">
                  <c:v>4.6384855841610742E-2</c:v>
                </c:pt>
                <c:pt idx="1">
                  <c:v>5.0719408997551674E-2</c:v>
                </c:pt>
                <c:pt idx="2">
                  <c:v>5.3468903017036565E-2</c:v>
                </c:pt>
                <c:pt idx="3">
                  <c:v>5.417346870504551E-2</c:v>
                </c:pt>
                <c:pt idx="4">
                  <c:v>5.0371580655041319E-2</c:v>
                </c:pt>
                <c:pt idx="5">
                  <c:v>5.3001854471473153E-2</c:v>
                </c:pt>
                <c:pt idx="6">
                  <c:v>5.9724085881846495E-2</c:v>
                </c:pt>
                <c:pt idx="7">
                  <c:v>6.1644035062056797E-2</c:v>
                </c:pt>
                <c:pt idx="8">
                  <c:v>7.42419393841319E-2</c:v>
                </c:pt>
                <c:pt idx="9">
                  <c:v>7.5356629038071415E-2</c:v>
                </c:pt>
                <c:pt idx="10">
                  <c:v>7.7604079879528928E-2</c:v>
                </c:pt>
                <c:pt idx="11">
                  <c:v>8.1735174165985039E-2</c:v>
                </c:pt>
                <c:pt idx="12">
                  <c:v>8.5999999999999993E-2</c:v>
                </c:pt>
                <c:pt idx="13">
                  <c:v>0.09</c:v>
                </c:pt>
                <c:pt idx="14">
                  <c:v>9.1999999999999998E-2</c:v>
                </c:pt>
                <c:pt idx="15">
                  <c:v>9.2999999999999999E-2</c:v>
                </c:pt>
                <c:pt idx="16">
                  <c:v>9.2999999999999999E-2</c:v>
                </c:pt>
              </c:numCache>
            </c:numRef>
          </c:val>
          <c:smooth val="1"/>
          <c:extLst>
            <c:ext xmlns:c16="http://schemas.microsoft.com/office/drawing/2014/chart" uri="{C3380CC4-5D6E-409C-BE32-E72D297353CC}">
              <c16:uniqueId val="{00000000-DB09-4384-9F4E-EF4BBC4D60CB}"/>
            </c:ext>
          </c:extLst>
        </c:ser>
        <c:dLbls>
          <c:showLegendKey val="0"/>
          <c:showVal val="0"/>
          <c:showCatName val="0"/>
          <c:showSerName val="0"/>
          <c:showPercent val="0"/>
          <c:showBubbleSize val="0"/>
        </c:dLbls>
        <c:marker val="1"/>
        <c:smooth val="0"/>
        <c:axId val="293486592"/>
        <c:axId val="293488512"/>
      </c:lineChart>
      <c:catAx>
        <c:axId val="293486592"/>
        <c:scaling>
          <c:orientation val="minMax"/>
        </c:scaling>
        <c:delete val="0"/>
        <c:axPos val="b"/>
        <c:title>
          <c:tx>
            <c:rich>
              <a:bodyPr/>
              <a:lstStyle/>
              <a:p>
                <a:pPr>
                  <a:defRPr sz="800" b="1" i="0" u="none" strike="noStrike" baseline="0">
                    <a:solidFill>
                      <a:srgbClr val="000000"/>
                    </a:solidFill>
                    <a:latin typeface="Arial CE"/>
                    <a:ea typeface="Arial CE"/>
                    <a:cs typeface="Arial CE"/>
                  </a:defRPr>
                </a:pPr>
                <a:r>
                  <a:rPr lang="cs-CZ"/>
                  <a:t>Roky</a:t>
                </a:r>
              </a:p>
            </c:rich>
          </c:tx>
          <c:layout>
            <c:manualLayout>
              <c:xMode val="edge"/>
              <c:yMode val="edge"/>
              <c:x val="0.52736405461755098"/>
              <c:y val="0.890577507598784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cs-CZ"/>
          </a:p>
        </c:txPr>
        <c:crossAx val="293488512"/>
        <c:crosses val="autoZero"/>
        <c:auto val="1"/>
        <c:lblAlgn val="ctr"/>
        <c:lblOffset val="100"/>
        <c:tickLblSkip val="1"/>
        <c:tickMarkSkip val="1"/>
        <c:noMultiLvlLbl val="0"/>
      </c:catAx>
      <c:valAx>
        <c:axId val="293488512"/>
        <c:scaling>
          <c:orientation val="minMax"/>
          <c:min val="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CE"/>
                    <a:ea typeface="Arial CE"/>
                    <a:cs typeface="Arial CE"/>
                  </a:defRPr>
                </a:pPr>
                <a:r>
                  <a:rPr lang="cs-CZ"/>
                  <a:t>Tržní podíl podniku</a:t>
                </a:r>
              </a:p>
            </c:rich>
          </c:tx>
          <c:layout>
            <c:manualLayout>
              <c:xMode val="edge"/>
              <c:yMode val="edge"/>
              <c:x val="2.6533996683250422E-2"/>
              <c:y val="0.3282674772036475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cs-CZ"/>
          </a:p>
        </c:txPr>
        <c:crossAx val="29348659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cs-CZ"/>
    </a:p>
  </c:txPr>
  <c:printSettings>
    <c:headerFooter alignWithMargins="0"/>
    <c:pageMargins b="0.98425196899999989" l="0.78740157499999996" r="0.78740157499999996" t="0.98425196899999989" header="0.49212598450000006" footer="0.49212598450000006"/>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9525</xdr:rowOff>
    </xdr:from>
    <xdr:to>
      <xdr:col>2</xdr:col>
      <xdr:colOff>0</xdr:colOff>
      <xdr:row>20</xdr:row>
      <xdr:rowOff>142875</xdr:rowOff>
    </xdr:to>
    <xdr:sp macro="" textlink="">
      <xdr:nvSpPr>
        <xdr:cNvPr id="20055" name="AutoShape 1">
          <a:extLst>
            <a:ext uri="{FF2B5EF4-FFF2-40B4-BE49-F238E27FC236}">
              <a16:creationId xmlns:a16="http://schemas.microsoft.com/office/drawing/2014/main" id="{00000000-0008-0000-0000-0000574E0000}"/>
            </a:ext>
          </a:extLst>
        </xdr:cNvPr>
        <xdr:cNvSpPr>
          <a:spLocks/>
        </xdr:cNvSpPr>
      </xdr:nvSpPr>
      <xdr:spPr bwMode="auto">
        <a:xfrm>
          <a:off x="1876425" y="3152775"/>
          <a:ext cx="0" cy="45720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0</xdr:colOff>
      <xdr:row>29</xdr:row>
      <xdr:rowOff>28575</xdr:rowOff>
    </xdr:from>
    <xdr:to>
      <xdr:col>2</xdr:col>
      <xdr:colOff>0</xdr:colOff>
      <xdr:row>32</xdr:row>
      <xdr:rowOff>152400</xdr:rowOff>
    </xdr:to>
    <xdr:sp macro="" textlink="">
      <xdr:nvSpPr>
        <xdr:cNvPr id="20056" name="AutoShape 2">
          <a:extLst>
            <a:ext uri="{FF2B5EF4-FFF2-40B4-BE49-F238E27FC236}">
              <a16:creationId xmlns:a16="http://schemas.microsoft.com/office/drawing/2014/main" id="{00000000-0008-0000-0000-0000584E0000}"/>
            </a:ext>
          </a:extLst>
        </xdr:cNvPr>
        <xdr:cNvSpPr>
          <a:spLocks/>
        </xdr:cNvSpPr>
      </xdr:nvSpPr>
      <xdr:spPr bwMode="auto">
        <a:xfrm>
          <a:off x="1876425" y="5438775"/>
          <a:ext cx="0" cy="60960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161925</xdr:colOff>
      <xdr:row>2</xdr:row>
      <xdr:rowOff>19050</xdr:rowOff>
    </xdr:from>
    <xdr:to>
      <xdr:col>8</xdr:col>
      <xdr:colOff>571500</xdr:colOff>
      <xdr:row>24</xdr:row>
      <xdr:rowOff>142875</xdr:rowOff>
    </xdr:to>
    <xdr:graphicFrame macro="">
      <xdr:nvGraphicFramePr>
        <xdr:cNvPr id="24877" name="Chart 2">
          <a:extLst>
            <a:ext uri="{FF2B5EF4-FFF2-40B4-BE49-F238E27FC236}">
              <a16:creationId xmlns:a16="http://schemas.microsoft.com/office/drawing/2014/main" id="{00000000-0008-0000-0100-00002D6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2</xdr:row>
      <xdr:rowOff>0</xdr:rowOff>
    </xdr:from>
    <xdr:to>
      <xdr:col>9</xdr:col>
      <xdr:colOff>9525</xdr:colOff>
      <xdr:row>25</xdr:row>
      <xdr:rowOff>9525</xdr:rowOff>
    </xdr:to>
    <xdr:graphicFrame macro="">
      <xdr:nvGraphicFramePr>
        <xdr:cNvPr id="26924" name="Chart 1">
          <a:extLst>
            <a:ext uri="{FF2B5EF4-FFF2-40B4-BE49-F238E27FC236}">
              <a16:creationId xmlns:a16="http://schemas.microsoft.com/office/drawing/2014/main" id="{00000000-0008-0000-0300-00002C6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142877</xdr:colOff>
      <xdr:row>36</xdr:row>
      <xdr:rowOff>57150</xdr:rowOff>
    </xdr:from>
    <xdr:to>
      <xdr:col>15</xdr:col>
      <xdr:colOff>438150</xdr:colOff>
      <xdr:row>39</xdr:row>
      <xdr:rowOff>66675</xdr:rowOff>
    </xdr:to>
    <xdr:sp macro="" textlink="">
      <xdr:nvSpPr>
        <xdr:cNvPr id="2053" name="Text Box 5">
          <a:extLst>
            <a:ext uri="{FF2B5EF4-FFF2-40B4-BE49-F238E27FC236}">
              <a16:creationId xmlns:a16="http://schemas.microsoft.com/office/drawing/2014/main" id="{00000000-0008-0000-0400-000005080000}"/>
            </a:ext>
          </a:extLst>
        </xdr:cNvPr>
        <xdr:cNvSpPr txBox="1">
          <a:spLocks noChangeArrowheads="1"/>
        </xdr:cNvSpPr>
      </xdr:nvSpPr>
      <xdr:spPr bwMode="auto">
        <a:xfrm>
          <a:off x="7581902" y="6867525"/>
          <a:ext cx="1314448" cy="49530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cs-CZ" sz="1000" b="1" i="1" u="none" strike="noStrike" baseline="0">
              <a:solidFill>
                <a:srgbClr val="800000"/>
              </a:solidFill>
              <a:latin typeface="Arial CE"/>
            </a:rPr>
            <a:t>Zvolená funkce pro prognózu trhu (tempa růstu)</a:t>
          </a:r>
        </a:p>
      </xdr:txBody>
    </xdr:sp>
    <xdr:clientData/>
  </xdr:twoCellAnchor>
  <xdr:twoCellAnchor>
    <xdr:from>
      <xdr:col>14</xdr:col>
      <xdr:colOff>200025</xdr:colOff>
      <xdr:row>35</xdr:row>
      <xdr:rowOff>0</xdr:rowOff>
    </xdr:from>
    <xdr:to>
      <xdr:col>14</xdr:col>
      <xdr:colOff>200025</xdr:colOff>
      <xdr:row>36</xdr:row>
      <xdr:rowOff>57150</xdr:rowOff>
    </xdr:to>
    <xdr:sp macro="" textlink="">
      <xdr:nvSpPr>
        <xdr:cNvPr id="2834" name="Line 6">
          <a:extLst>
            <a:ext uri="{FF2B5EF4-FFF2-40B4-BE49-F238E27FC236}">
              <a16:creationId xmlns:a16="http://schemas.microsoft.com/office/drawing/2014/main" id="{00000000-0008-0000-0400-0000120B0000}"/>
            </a:ext>
          </a:extLst>
        </xdr:cNvPr>
        <xdr:cNvSpPr>
          <a:spLocks noChangeShapeType="1"/>
        </xdr:cNvSpPr>
      </xdr:nvSpPr>
      <xdr:spPr bwMode="auto">
        <a:xfrm flipV="1">
          <a:off x="8220075" y="6648450"/>
          <a:ext cx="0" cy="219075"/>
        </a:xfrm>
        <a:prstGeom prst="line">
          <a:avLst/>
        </a:prstGeom>
        <a:noFill/>
        <a:ln w="9525">
          <a:solidFill>
            <a:srgbClr val="000000"/>
          </a:solidFill>
          <a:round/>
          <a:headEnd/>
          <a:tailEnd type="triangle" w="med" len="med"/>
        </a:ln>
      </xdr:spPr>
    </xdr:sp>
    <xdr:clientData/>
  </xdr:twoCellAnchor>
  <xdr:twoCellAnchor>
    <xdr:from>
      <xdr:col>10</xdr:col>
      <xdr:colOff>19050</xdr:colOff>
      <xdr:row>44</xdr:row>
      <xdr:rowOff>104775</xdr:rowOff>
    </xdr:from>
    <xdr:to>
      <xdr:col>19</xdr:col>
      <xdr:colOff>485775</xdr:colOff>
      <xdr:row>66</xdr:row>
      <xdr:rowOff>133350</xdr:rowOff>
    </xdr:to>
    <xdr:graphicFrame macro="">
      <xdr:nvGraphicFramePr>
        <xdr:cNvPr id="2835" name="Graf 3">
          <a:extLst>
            <a:ext uri="{FF2B5EF4-FFF2-40B4-BE49-F238E27FC236}">
              <a16:creationId xmlns:a16="http://schemas.microsoft.com/office/drawing/2014/main" id="{00000000-0008-0000-0400-0000130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85725</xdr:rowOff>
    </xdr:from>
    <xdr:to>
      <xdr:col>7</xdr:col>
      <xdr:colOff>733425</xdr:colOff>
      <xdr:row>39</xdr:row>
      <xdr:rowOff>142875</xdr:rowOff>
    </xdr:to>
    <xdr:graphicFrame macro="">
      <xdr:nvGraphicFramePr>
        <xdr:cNvPr id="12593" name="Chart 3">
          <a:extLst>
            <a:ext uri="{FF2B5EF4-FFF2-40B4-BE49-F238E27FC236}">
              <a16:creationId xmlns:a16="http://schemas.microsoft.com/office/drawing/2014/main" id="{00000000-0008-0000-0600-0000313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609600</xdr:colOff>
      <xdr:row>12</xdr:row>
      <xdr:rowOff>152400</xdr:rowOff>
    </xdr:from>
    <xdr:to>
      <xdr:col>4</xdr:col>
      <xdr:colOff>133350</xdr:colOff>
      <xdr:row>14</xdr:row>
      <xdr:rowOff>19050</xdr:rowOff>
    </xdr:to>
    <xdr:sp macro="" textlink="">
      <xdr:nvSpPr>
        <xdr:cNvPr id="20482" name="Text Box 2">
          <a:extLst>
            <a:ext uri="{FF2B5EF4-FFF2-40B4-BE49-F238E27FC236}">
              <a16:creationId xmlns:a16="http://schemas.microsoft.com/office/drawing/2014/main" id="{00000000-0008-0000-1000-000002500000}"/>
            </a:ext>
          </a:extLst>
        </xdr:cNvPr>
        <xdr:cNvSpPr txBox="1">
          <a:spLocks noChangeArrowheads="1"/>
        </xdr:cNvSpPr>
      </xdr:nvSpPr>
      <xdr:spPr bwMode="auto">
        <a:xfrm>
          <a:off x="4457700" y="2476500"/>
          <a:ext cx="914400" cy="228600"/>
        </a:xfrm>
        <a:prstGeom prst="rect">
          <a:avLst/>
        </a:prstGeom>
        <a:solidFill>
          <a:srgbClr val="FFFFFF"/>
        </a:solidFill>
        <a:ln w="9525">
          <a:solidFill>
            <a:srgbClr val="008000"/>
          </a:solidFill>
          <a:miter lim="800000"/>
          <a:headEnd/>
          <a:tailEnd/>
        </a:ln>
      </xdr:spPr>
      <xdr:txBody>
        <a:bodyPr vertOverflow="clip" wrap="square" lIns="27432" tIns="22860" rIns="27432" bIns="22860" anchor="ctr" upright="1"/>
        <a:lstStyle/>
        <a:p>
          <a:pPr algn="ctr" rtl="0">
            <a:defRPr sz="1000"/>
          </a:pPr>
          <a:r>
            <a:rPr lang="cs-CZ" sz="1000" b="0" i="1" u="none" strike="noStrike" baseline="0">
              <a:solidFill>
                <a:srgbClr val="008000"/>
              </a:solidFill>
              <a:latin typeface="Arial CE"/>
            </a:rPr>
            <a:t>Dopočet</a:t>
          </a:r>
        </a:p>
      </xdr:txBody>
    </xdr:sp>
    <xdr:clientData/>
  </xdr:twoCellAnchor>
  <xdr:twoCellAnchor>
    <xdr:from>
      <xdr:col>7</xdr:col>
      <xdr:colOff>552450</xdr:colOff>
      <xdr:row>12</xdr:row>
      <xdr:rowOff>133350</xdr:rowOff>
    </xdr:from>
    <xdr:to>
      <xdr:col>9</xdr:col>
      <xdr:colOff>76200</xdr:colOff>
      <xdr:row>14</xdr:row>
      <xdr:rowOff>0</xdr:rowOff>
    </xdr:to>
    <xdr:sp macro="" textlink="">
      <xdr:nvSpPr>
        <xdr:cNvPr id="20483" name="Text Box 3">
          <a:extLst>
            <a:ext uri="{FF2B5EF4-FFF2-40B4-BE49-F238E27FC236}">
              <a16:creationId xmlns:a16="http://schemas.microsoft.com/office/drawing/2014/main" id="{00000000-0008-0000-1000-000003500000}"/>
            </a:ext>
          </a:extLst>
        </xdr:cNvPr>
        <xdr:cNvSpPr txBox="1">
          <a:spLocks noChangeArrowheads="1"/>
        </xdr:cNvSpPr>
      </xdr:nvSpPr>
      <xdr:spPr bwMode="auto">
        <a:xfrm>
          <a:off x="7905750" y="2457450"/>
          <a:ext cx="914400" cy="228600"/>
        </a:xfrm>
        <a:prstGeom prst="rect">
          <a:avLst/>
        </a:prstGeom>
        <a:solidFill>
          <a:srgbClr val="FFFFFF"/>
        </a:solidFill>
        <a:ln w="9525">
          <a:solidFill>
            <a:srgbClr val="008000"/>
          </a:solidFill>
          <a:miter lim="800000"/>
          <a:headEnd/>
          <a:tailEnd/>
        </a:ln>
      </xdr:spPr>
      <xdr:txBody>
        <a:bodyPr vertOverflow="clip" wrap="square" lIns="27432" tIns="22860" rIns="27432" bIns="22860" anchor="ctr" upright="1"/>
        <a:lstStyle/>
        <a:p>
          <a:pPr algn="ctr" rtl="0">
            <a:defRPr sz="1000"/>
          </a:pPr>
          <a:r>
            <a:rPr lang="cs-CZ" sz="1000" b="0" i="1" u="none" strike="noStrike" baseline="0">
              <a:solidFill>
                <a:srgbClr val="008000"/>
              </a:solidFill>
              <a:latin typeface="Arial CE"/>
            </a:rPr>
            <a:t>Odhad</a:t>
          </a:r>
        </a:p>
      </xdr:txBody>
    </xdr:sp>
    <xdr:clientData/>
  </xdr:twoCellAnchor>
  <xdr:twoCellAnchor>
    <xdr:from>
      <xdr:col>1</xdr:col>
      <xdr:colOff>19050</xdr:colOff>
      <xdr:row>14</xdr:row>
      <xdr:rowOff>19050</xdr:rowOff>
    </xdr:from>
    <xdr:to>
      <xdr:col>5</xdr:col>
      <xdr:colOff>666750</xdr:colOff>
      <xdr:row>14</xdr:row>
      <xdr:rowOff>209550</xdr:rowOff>
    </xdr:to>
    <xdr:sp macro="" textlink="">
      <xdr:nvSpPr>
        <xdr:cNvPr id="1015186" name="AutoShape 4">
          <a:extLst>
            <a:ext uri="{FF2B5EF4-FFF2-40B4-BE49-F238E27FC236}">
              <a16:creationId xmlns:a16="http://schemas.microsoft.com/office/drawing/2014/main" id="{00000000-0008-0000-1000-0000927D0F00}"/>
            </a:ext>
          </a:extLst>
        </xdr:cNvPr>
        <xdr:cNvSpPr>
          <a:spLocks/>
        </xdr:cNvSpPr>
      </xdr:nvSpPr>
      <xdr:spPr bwMode="auto">
        <a:xfrm rot="5400000">
          <a:off x="4819650" y="1085850"/>
          <a:ext cx="190500" cy="3429000"/>
        </a:xfrm>
        <a:prstGeom prst="leftBrace">
          <a:avLst>
            <a:gd name="adj1" fmla="val 150000"/>
            <a:gd name="adj2" fmla="val 50000"/>
          </a:avLst>
        </a:prstGeom>
        <a:noFill/>
        <a:ln w="9525">
          <a:solidFill>
            <a:srgbClr val="008000"/>
          </a:solidFill>
          <a:round/>
          <a:headEnd/>
          <a:tailEnd/>
        </a:ln>
      </xdr:spPr>
    </xdr:sp>
    <xdr:clientData/>
  </xdr:twoCellAnchor>
  <xdr:twoCellAnchor>
    <xdr:from>
      <xdr:col>6</xdr:col>
      <xdr:colOff>9525</xdr:colOff>
      <xdr:row>14</xdr:row>
      <xdr:rowOff>0</xdr:rowOff>
    </xdr:from>
    <xdr:to>
      <xdr:col>10</xdr:col>
      <xdr:colOff>600075</xdr:colOff>
      <xdr:row>15</xdr:row>
      <xdr:rowOff>9525</xdr:rowOff>
    </xdr:to>
    <xdr:sp macro="" textlink="">
      <xdr:nvSpPr>
        <xdr:cNvPr id="1015187" name="AutoShape 5">
          <a:extLst>
            <a:ext uri="{FF2B5EF4-FFF2-40B4-BE49-F238E27FC236}">
              <a16:creationId xmlns:a16="http://schemas.microsoft.com/office/drawing/2014/main" id="{00000000-0008-0000-1000-0000937D0F00}"/>
            </a:ext>
          </a:extLst>
        </xdr:cNvPr>
        <xdr:cNvSpPr>
          <a:spLocks/>
        </xdr:cNvSpPr>
      </xdr:nvSpPr>
      <xdr:spPr bwMode="auto">
        <a:xfrm rot="5400000">
          <a:off x="8234362" y="1119188"/>
          <a:ext cx="238125" cy="3371850"/>
        </a:xfrm>
        <a:prstGeom prst="leftBrace">
          <a:avLst>
            <a:gd name="adj1" fmla="val 104692"/>
            <a:gd name="adj2" fmla="val 50000"/>
          </a:avLst>
        </a:prstGeom>
        <a:noFill/>
        <a:ln w="9525">
          <a:solidFill>
            <a:srgbClr val="008000"/>
          </a:solidFill>
          <a:round/>
          <a:headEnd/>
          <a:tailEnd/>
        </a:ln>
      </xdr:spPr>
    </xdr:sp>
    <xdr:clientData/>
  </xdr:twoCellAnchor>
  <xdr:twoCellAnchor>
    <xdr:from>
      <xdr:col>2</xdr:col>
      <xdr:colOff>590550</xdr:colOff>
      <xdr:row>53</xdr:row>
      <xdr:rowOff>76200</xdr:rowOff>
    </xdr:from>
    <xdr:to>
      <xdr:col>4</xdr:col>
      <xdr:colOff>114300</xdr:colOff>
      <xdr:row>54</xdr:row>
      <xdr:rowOff>104775</xdr:rowOff>
    </xdr:to>
    <xdr:sp macro="" textlink="">
      <xdr:nvSpPr>
        <xdr:cNvPr id="20486" name="Text Box 6">
          <a:extLst>
            <a:ext uri="{FF2B5EF4-FFF2-40B4-BE49-F238E27FC236}">
              <a16:creationId xmlns:a16="http://schemas.microsoft.com/office/drawing/2014/main" id="{00000000-0008-0000-1000-000006500000}"/>
            </a:ext>
          </a:extLst>
        </xdr:cNvPr>
        <xdr:cNvSpPr txBox="1">
          <a:spLocks noChangeArrowheads="1"/>
        </xdr:cNvSpPr>
      </xdr:nvSpPr>
      <xdr:spPr bwMode="auto">
        <a:xfrm>
          <a:off x="4438650" y="8429625"/>
          <a:ext cx="914400" cy="228600"/>
        </a:xfrm>
        <a:prstGeom prst="rect">
          <a:avLst/>
        </a:prstGeom>
        <a:solidFill>
          <a:srgbClr val="FFFFFF"/>
        </a:solidFill>
        <a:ln w="9525">
          <a:solidFill>
            <a:srgbClr val="008000"/>
          </a:solidFill>
          <a:miter lim="800000"/>
          <a:headEnd/>
          <a:tailEnd/>
        </a:ln>
      </xdr:spPr>
      <xdr:txBody>
        <a:bodyPr vertOverflow="clip" wrap="square" lIns="27432" tIns="22860" rIns="27432" bIns="22860" anchor="ctr" upright="1"/>
        <a:lstStyle/>
        <a:p>
          <a:pPr algn="ctr" rtl="0">
            <a:defRPr sz="1000"/>
          </a:pPr>
          <a:r>
            <a:rPr lang="cs-CZ" sz="1000" b="0" i="1" u="none" strike="noStrike" baseline="0">
              <a:solidFill>
                <a:srgbClr val="008000"/>
              </a:solidFill>
              <a:latin typeface="Arial CE"/>
            </a:rPr>
            <a:t>Dopočet</a:t>
          </a:r>
        </a:p>
      </xdr:txBody>
    </xdr:sp>
    <xdr:clientData/>
  </xdr:twoCellAnchor>
  <xdr:twoCellAnchor>
    <xdr:from>
      <xdr:col>7</xdr:col>
      <xdr:colOff>533400</xdr:colOff>
      <xdr:row>53</xdr:row>
      <xdr:rowOff>66675</xdr:rowOff>
    </xdr:from>
    <xdr:to>
      <xdr:col>9</xdr:col>
      <xdr:colOff>57150</xdr:colOff>
      <xdr:row>54</xdr:row>
      <xdr:rowOff>95250</xdr:rowOff>
    </xdr:to>
    <xdr:sp macro="" textlink="">
      <xdr:nvSpPr>
        <xdr:cNvPr id="20487" name="Text Box 7">
          <a:extLst>
            <a:ext uri="{FF2B5EF4-FFF2-40B4-BE49-F238E27FC236}">
              <a16:creationId xmlns:a16="http://schemas.microsoft.com/office/drawing/2014/main" id="{00000000-0008-0000-1000-000007500000}"/>
            </a:ext>
          </a:extLst>
        </xdr:cNvPr>
        <xdr:cNvSpPr txBox="1">
          <a:spLocks noChangeArrowheads="1"/>
        </xdr:cNvSpPr>
      </xdr:nvSpPr>
      <xdr:spPr bwMode="auto">
        <a:xfrm>
          <a:off x="7886700" y="9677400"/>
          <a:ext cx="914400" cy="228600"/>
        </a:xfrm>
        <a:prstGeom prst="rect">
          <a:avLst/>
        </a:prstGeom>
        <a:solidFill>
          <a:srgbClr val="FFFFFF"/>
        </a:solidFill>
        <a:ln w="9525">
          <a:solidFill>
            <a:srgbClr val="008000"/>
          </a:solidFill>
          <a:miter lim="800000"/>
          <a:headEnd/>
          <a:tailEnd/>
        </a:ln>
      </xdr:spPr>
      <xdr:txBody>
        <a:bodyPr vertOverflow="clip" wrap="square" lIns="27432" tIns="22860" rIns="27432" bIns="22860" anchor="ctr" upright="1"/>
        <a:lstStyle/>
        <a:p>
          <a:pPr algn="ctr" rtl="0">
            <a:defRPr sz="1000"/>
          </a:pPr>
          <a:r>
            <a:rPr lang="cs-CZ" sz="1000" b="0" i="1" u="none" strike="noStrike" baseline="0">
              <a:solidFill>
                <a:srgbClr val="008000"/>
              </a:solidFill>
              <a:latin typeface="Arial CE"/>
            </a:rPr>
            <a:t>Odhad</a:t>
          </a:r>
        </a:p>
      </xdr:txBody>
    </xdr:sp>
    <xdr:clientData/>
  </xdr:twoCellAnchor>
  <xdr:twoCellAnchor>
    <xdr:from>
      <xdr:col>1</xdr:col>
      <xdr:colOff>19050</xdr:colOff>
      <xdr:row>54</xdr:row>
      <xdr:rowOff>123825</xdr:rowOff>
    </xdr:from>
    <xdr:to>
      <xdr:col>5</xdr:col>
      <xdr:colOff>666750</xdr:colOff>
      <xdr:row>56</xdr:row>
      <xdr:rowOff>0</xdr:rowOff>
    </xdr:to>
    <xdr:sp macro="" textlink="">
      <xdr:nvSpPr>
        <xdr:cNvPr id="1015190" name="AutoShape 8">
          <a:extLst>
            <a:ext uri="{FF2B5EF4-FFF2-40B4-BE49-F238E27FC236}">
              <a16:creationId xmlns:a16="http://schemas.microsoft.com/office/drawing/2014/main" id="{00000000-0008-0000-1000-0000967D0F00}"/>
            </a:ext>
          </a:extLst>
        </xdr:cNvPr>
        <xdr:cNvSpPr>
          <a:spLocks/>
        </xdr:cNvSpPr>
      </xdr:nvSpPr>
      <xdr:spPr bwMode="auto">
        <a:xfrm rot="5400000">
          <a:off x="4791075" y="8343900"/>
          <a:ext cx="247650" cy="3429000"/>
        </a:xfrm>
        <a:prstGeom prst="leftBrace">
          <a:avLst>
            <a:gd name="adj1" fmla="val 115385"/>
            <a:gd name="adj2" fmla="val 50000"/>
          </a:avLst>
        </a:prstGeom>
        <a:noFill/>
        <a:ln w="9525">
          <a:solidFill>
            <a:srgbClr val="008000"/>
          </a:solidFill>
          <a:round/>
          <a:headEnd/>
          <a:tailEnd/>
        </a:ln>
      </xdr:spPr>
    </xdr:sp>
    <xdr:clientData/>
  </xdr:twoCellAnchor>
  <xdr:twoCellAnchor>
    <xdr:from>
      <xdr:col>6</xdr:col>
      <xdr:colOff>9525</xdr:colOff>
      <xdr:row>54</xdr:row>
      <xdr:rowOff>114300</xdr:rowOff>
    </xdr:from>
    <xdr:to>
      <xdr:col>10</xdr:col>
      <xdr:colOff>600075</xdr:colOff>
      <xdr:row>56</xdr:row>
      <xdr:rowOff>19050</xdr:rowOff>
    </xdr:to>
    <xdr:sp macro="" textlink="">
      <xdr:nvSpPr>
        <xdr:cNvPr id="1015191" name="AutoShape 9">
          <a:extLst>
            <a:ext uri="{FF2B5EF4-FFF2-40B4-BE49-F238E27FC236}">
              <a16:creationId xmlns:a16="http://schemas.microsoft.com/office/drawing/2014/main" id="{00000000-0008-0000-1000-0000977D0F00}"/>
            </a:ext>
          </a:extLst>
        </xdr:cNvPr>
        <xdr:cNvSpPr>
          <a:spLocks/>
        </xdr:cNvSpPr>
      </xdr:nvSpPr>
      <xdr:spPr bwMode="auto">
        <a:xfrm rot="5400000">
          <a:off x="8215312" y="8377238"/>
          <a:ext cx="276225" cy="3371850"/>
        </a:xfrm>
        <a:prstGeom prst="leftBrace">
          <a:avLst>
            <a:gd name="adj1" fmla="val 90252"/>
            <a:gd name="adj2" fmla="val 50000"/>
          </a:avLst>
        </a:prstGeom>
        <a:noFill/>
        <a:ln w="9525">
          <a:solidFill>
            <a:srgbClr val="008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285750</xdr:colOff>
      <xdr:row>14</xdr:row>
      <xdr:rowOff>57150</xdr:rowOff>
    </xdr:from>
    <xdr:to>
      <xdr:col>3</xdr:col>
      <xdr:colOff>857250</xdr:colOff>
      <xdr:row>16</xdr:row>
      <xdr:rowOff>142875</xdr:rowOff>
    </xdr:to>
    <xdr:sp macro="" textlink="">
      <xdr:nvSpPr>
        <xdr:cNvPr id="23561" name="Text Box 9">
          <a:extLst>
            <a:ext uri="{FF2B5EF4-FFF2-40B4-BE49-F238E27FC236}">
              <a16:creationId xmlns:a16="http://schemas.microsoft.com/office/drawing/2014/main" id="{00000000-0008-0000-1300-0000095C0000}"/>
            </a:ext>
          </a:extLst>
        </xdr:cNvPr>
        <xdr:cNvSpPr txBox="1">
          <a:spLocks noChangeArrowheads="1"/>
        </xdr:cNvSpPr>
      </xdr:nvSpPr>
      <xdr:spPr bwMode="auto">
        <a:xfrm>
          <a:off x="4972050" y="3162300"/>
          <a:ext cx="1181100" cy="542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cs-CZ" sz="1000" b="0" i="0" u="none" strike="noStrike" baseline="0">
              <a:solidFill>
                <a:srgbClr val="800080"/>
              </a:solidFill>
              <a:latin typeface="Arial CE"/>
            </a:rPr>
            <a:t>Zaokrouhlená hodnota z listu  22-DCF, buňky C72</a:t>
          </a:r>
        </a:p>
      </xdr:txBody>
    </xdr:sp>
    <xdr:clientData/>
  </xdr:twoCellAnchor>
  <xdr:twoCellAnchor>
    <xdr:from>
      <xdr:col>2</xdr:col>
      <xdr:colOff>19050</xdr:colOff>
      <xdr:row>15</xdr:row>
      <xdr:rowOff>95250</xdr:rowOff>
    </xdr:from>
    <xdr:to>
      <xdr:col>2</xdr:col>
      <xdr:colOff>276225</xdr:colOff>
      <xdr:row>15</xdr:row>
      <xdr:rowOff>95250</xdr:rowOff>
    </xdr:to>
    <xdr:sp macro="" textlink="">
      <xdr:nvSpPr>
        <xdr:cNvPr id="24174" name="Line 10">
          <a:extLst>
            <a:ext uri="{FF2B5EF4-FFF2-40B4-BE49-F238E27FC236}">
              <a16:creationId xmlns:a16="http://schemas.microsoft.com/office/drawing/2014/main" id="{00000000-0008-0000-1300-00006E5E0000}"/>
            </a:ext>
          </a:extLst>
        </xdr:cNvPr>
        <xdr:cNvSpPr>
          <a:spLocks noChangeShapeType="1"/>
        </xdr:cNvSpPr>
      </xdr:nvSpPr>
      <xdr:spPr bwMode="auto">
        <a:xfrm flipH="1">
          <a:off x="4705350" y="3429000"/>
          <a:ext cx="257175" cy="0"/>
        </a:xfrm>
        <a:prstGeom prst="line">
          <a:avLst/>
        </a:prstGeom>
        <a:noFill/>
        <a:ln w="9525">
          <a:solidFill>
            <a:srgbClr val="000000"/>
          </a:solidFill>
          <a:round/>
          <a:headEnd/>
          <a:tailEnd type="triangle" w="med" len="med"/>
        </a:ln>
      </xdr:spPr>
    </xdr:sp>
    <xdr:clientData/>
  </xdr:twoCellAnchor>
  <xdr:twoCellAnchor>
    <xdr:from>
      <xdr:col>2</xdr:col>
      <xdr:colOff>276225</xdr:colOff>
      <xdr:row>3</xdr:row>
      <xdr:rowOff>66675</xdr:rowOff>
    </xdr:from>
    <xdr:to>
      <xdr:col>3</xdr:col>
      <xdr:colOff>847725</xdr:colOff>
      <xdr:row>5</xdr:row>
      <xdr:rowOff>152400</xdr:rowOff>
    </xdr:to>
    <xdr:sp macro="" textlink="">
      <xdr:nvSpPr>
        <xdr:cNvPr id="4" name="Text Box 9">
          <a:extLst>
            <a:ext uri="{FF2B5EF4-FFF2-40B4-BE49-F238E27FC236}">
              <a16:creationId xmlns:a16="http://schemas.microsoft.com/office/drawing/2014/main" id="{00000000-0008-0000-1300-000004000000}"/>
            </a:ext>
          </a:extLst>
        </xdr:cNvPr>
        <xdr:cNvSpPr txBox="1">
          <a:spLocks noChangeArrowheads="1"/>
        </xdr:cNvSpPr>
      </xdr:nvSpPr>
      <xdr:spPr bwMode="auto">
        <a:xfrm>
          <a:off x="4962525" y="657225"/>
          <a:ext cx="1181100" cy="542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cs-CZ" sz="1000" b="0" i="0" u="none" strike="noStrike" baseline="0">
              <a:solidFill>
                <a:srgbClr val="800080"/>
              </a:solidFill>
              <a:latin typeface="Arial CE"/>
            </a:rPr>
            <a:t>Snížená o rozdíl výnosnosnosti 10 a 20 letých dluhopisů</a:t>
          </a:r>
        </a:p>
      </xdr:txBody>
    </xdr:sp>
    <xdr:clientData/>
  </xdr:twoCellAnchor>
  <xdr:twoCellAnchor>
    <xdr:from>
      <xdr:col>2</xdr:col>
      <xdr:colOff>9525</xdr:colOff>
      <xdr:row>4</xdr:row>
      <xdr:rowOff>104775</xdr:rowOff>
    </xdr:from>
    <xdr:to>
      <xdr:col>2</xdr:col>
      <xdr:colOff>266700</xdr:colOff>
      <xdr:row>4</xdr:row>
      <xdr:rowOff>104775</xdr:rowOff>
    </xdr:to>
    <xdr:sp macro="" textlink="">
      <xdr:nvSpPr>
        <xdr:cNvPr id="24176" name="Line 10">
          <a:extLst>
            <a:ext uri="{FF2B5EF4-FFF2-40B4-BE49-F238E27FC236}">
              <a16:creationId xmlns:a16="http://schemas.microsoft.com/office/drawing/2014/main" id="{00000000-0008-0000-1300-0000705E0000}"/>
            </a:ext>
          </a:extLst>
        </xdr:cNvPr>
        <xdr:cNvSpPr>
          <a:spLocks noChangeShapeType="1"/>
        </xdr:cNvSpPr>
      </xdr:nvSpPr>
      <xdr:spPr bwMode="auto">
        <a:xfrm flipH="1">
          <a:off x="4695825" y="923925"/>
          <a:ext cx="257175" cy="0"/>
        </a:xfrm>
        <a:prstGeom prst="line">
          <a:avLst/>
        </a:prstGeom>
        <a:noFill/>
        <a:ln w="9525">
          <a:solidFill>
            <a:srgbClr val="000000"/>
          </a:solidFill>
          <a:round/>
          <a:headEnd/>
          <a:tailEnd type="triangle"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495300</xdr:colOff>
      <xdr:row>1</xdr:row>
      <xdr:rowOff>133350</xdr:rowOff>
    </xdr:from>
    <xdr:to>
      <xdr:col>6</xdr:col>
      <xdr:colOff>523875</xdr:colOff>
      <xdr:row>2</xdr:row>
      <xdr:rowOff>457200</xdr:rowOff>
    </xdr:to>
    <xdr:sp macro="" textlink="">
      <xdr:nvSpPr>
        <xdr:cNvPr id="16387" name="Text Box 3">
          <a:extLst>
            <a:ext uri="{FF2B5EF4-FFF2-40B4-BE49-F238E27FC236}">
              <a16:creationId xmlns:a16="http://schemas.microsoft.com/office/drawing/2014/main" id="{00000000-0008-0000-1400-000003400000}"/>
            </a:ext>
          </a:extLst>
        </xdr:cNvPr>
        <xdr:cNvSpPr txBox="1">
          <a:spLocks noChangeArrowheads="1"/>
        </xdr:cNvSpPr>
      </xdr:nvSpPr>
      <xdr:spPr bwMode="auto">
        <a:xfrm>
          <a:off x="4800600" y="333375"/>
          <a:ext cx="1752600" cy="495300"/>
        </a:xfrm>
        <a:prstGeom prst="rect">
          <a:avLst/>
        </a:prstGeom>
        <a:solidFill>
          <a:srgbClr val="CCFFFF"/>
        </a:solidFill>
        <a:ln w="15875">
          <a:solidFill>
            <a:srgbClr val="00FFFF"/>
          </a:solidFill>
          <a:miter lim="800000"/>
          <a:headEnd/>
          <a:tailEnd/>
        </a:ln>
      </xdr:spPr>
      <xdr:txBody>
        <a:bodyPr vertOverflow="clip" wrap="square" lIns="27432" tIns="22860" rIns="27432" bIns="22860" anchor="ctr" upright="1"/>
        <a:lstStyle/>
        <a:p>
          <a:pPr algn="ctr" rtl="0">
            <a:defRPr sz="1000"/>
          </a:pPr>
          <a:r>
            <a:rPr lang="cs-CZ" sz="1000" b="0" i="1" u="none" strike="noStrike" baseline="0">
              <a:solidFill>
                <a:srgbClr val="000000"/>
              </a:solidFill>
              <a:latin typeface="Arial CE"/>
            </a:rPr>
            <a:t>Modrá pole představují vstupní buňky</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485775</xdr:colOff>
      <xdr:row>1</xdr:row>
      <xdr:rowOff>76200</xdr:rowOff>
    </xdr:from>
    <xdr:to>
      <xdr:col>7</xdr:col>
      <xdr:colOff>523875</xdr:colOff>
      <xdr:row>4</xdr:row>
      <xdr:rowOff>9525</xdr:rowOff>
    </xdr:to>
    <xdr:sp macro="" textlink="">
      <xdr:nvSpPr>
        <xdr:cNvPr id="22529" name="Text Box 1">
          <a:extLst>
            <a:ext uri="{FF2B5EF4-FFF2-40B4-BE49-F238E27FC236}">
              <a16:creationId xmlns:a16="http://schemas.microsoft.com/office/drawing/2014/main" id="{00000000-0008-0000-1C00-000001580000}"/>
            </a:ext>
          </a:extLst>
        </xdr:cNvPr>
        <xdr:cNvSpPr txBox="1">
          <a:spLocks noChangeArrowheads="1"/>
        </xdr:cNvSpPr>
      </xdr:nvSpPr>
      <xdr:spPr bwMode="auto">
        <a:xfrm>
          <a:off x="3743325" y="304800"/>
          <a:ext cx="2276475" cy="53340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cs-CZ" sz="1000" b="0" i="0" u="none" strike="noStrike" baseline="0">
              <a:solidFill>
                <a:srgbClr val="993366"/>
              </a:solidFill>
              <a:latin typeface="Arial CE"/>
            </a:rPr>
            <a:t>Výsledná tržní hodnota </a:t>
          </a:r>
          <a:r>
            <a:rPr lang="cs-CZ" sz="1000" b="0" i="1" u="none" strike="noStrike" baseline="0">
              <a:solidFill>
                <a:srgbClr val="993366"/>
              </a:solidFill>
              <a:latin typeface="Arial CE"/>
            </a:rPr>
            <a:t>(ocenění současného výnosového potenciálu i budoucích růstových příležitostí)</a:t>
          </a:r>
        </a:p>
      </xdr:txBody>
    </xdr:sp>
    <xdr:clientData/>
  </xdr:twoCellAnchor>
  <xdr:twoCellAnchor>
    <xdr:from>
      <xdr:col>4</xdr:col>
      <xdr:colOff>485775</xdr:colOff>
      <xdr:row>4</xdr:row>
      <xdr:rowOff>95250</xdr:rowOff>
    </xdr:from>
    <xdr:to>
      <xdr:col>7</xdr:col>
      <xdr:colOff>542925</xdr:colOff>
      <xdr:row>6</xdr:row>
      <xdr:rowOff>161925</xdr:rowOff>
    </xdr:to>
    <xdr:sp macro="" textlink="">
      <xdr:nvSpPr>
        <xdr:cNvPr id="22530" name="Text Box 2">
          <a:extLst>
            <a:ext uri="{FF2B5EF4-FFF2-40B4-BE49-F238E27FC236}">
              <a16:creationId xmlns:a16="http://schemas.microsoft.com/office/drawing/2014/main" id="{00000000-0008-0000-1C00-000002580000}"/>
            </a:ext>
          </a:extLst>
        </xdr:cNvPr>
        <xdr:cNvSpPr txBox="1">
          <a:spLocks noChangeArrowheads="1"/>
        </xdr:cNvSpPr>
      </xdr:nvSpPr>
      <xdr:spPr bwMode="auto">
        <a:xfrm>
          <a:off x="3743325" y="923925"/>
          <a:ext cx="2295525" cy="523875"/>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cs-CZ" sz="1000" b="0" i="0" u="none" strike="noStrike" baseline="0">
              <a:solidFill>
                <a:srgbClr val="993366"/>
              </a:solidFill>
              <a:latin typeface="Arial CE"/>
            </a:rPr>
            <a:t>Dolní mez výnosové hodnoty </a:t>
          </a:r>
          <a:r>
            <a:rPr lang="cs-CZ" sz="1000" b="0" i="1" u="none" strike="noStrike" baseline="0">
              <a:solidFill>
                <a:srgbClr val="993366"/>
              </a:solidFill>
              <a:latin typeface="Arial CE"/>
            </a:rPr>
            <a:t>(ocenění jen současného výnosového potenciálu)</a:t>
          </a:r>
        </a:p>
      </xdr:txBody>
    </xdr:sp>
    <xdr:clientData/>
  </xdr:twoCellAnchor>
  <xdr:twoCellAnchor>
    <xdr:from>
      <xdr:col>3</xdr:col>
      <xdr:colOff>495300</xdr:colOff>
      <xdr:row>2</xdr:row>
      <xdr:rowOff>161925</xdr:rowOff>
    </xdr:from>
    <xdr:to>
      <xdr:col>4</xdr:col>
      <xdr:colOff>485775</xdr:colOff>
      <xdr:row>2</xdr:row>
      <xdr:rowOff>190500</xdr:rowOff>
    </xdr:to>
    <xdr:sp macro="" textlink="">
      <xdr:nvSpPr>
        <xdr:cNvPr id="1016550" name="Line 3">
          <a:extLst>
            <a:ext uri="{FF2B5EF4-FFF2-40B4-BE49-F238E27FC236}">
              <a16:creationId xmlns:a16="http://schemas.microsoft.com/office/drawing/2014/main" id="{00000000-0008-0000-1C00-0000E6820F00}"/>
            </a:ext>
          </a:extLst>
        </xdr:cNvPr>
        <xdr:cNvSpPr>
          <a:spLocks noChangeShapeType="1"/>
        </xdr:cNvSpPr>
      </xdr:nvSpPr>
      <xdr:spPr bwMode="auto">
        <a:xfrm flipH="1" flipV="1">
          <a:off x="3095625" y="533400"/>
          <a:ext cx="647700" cy="28575"/>
        </a:xfrm>
        <a:prstGeom prst="line">
          <a:avLst/>
        </a:prstGeom>
        <a:noFill/>
        <a:ln w="9525">
          <a:solidFill>
            <a:srgbClr val="000000"/>
          </a:solidFill>
          <a:round/>
          <a:headEnd/>
          <a:tailEnd type="triangle" w="med" len="med"/>
        </a:ln>
      </xdr:spPr>
    </xdr:sp>
    <xdr:clientData/>
  </xdr:twoCellAnchor>
  <xdr:twoCellAnchor>
    <xdr:from>
      <xdr:col>3</xdr:col>
      <xdr:colOff>504825</xdr:colOff>
      <xdr:row>2</xdr:row>
      <xdr:rowOff>200025</xdr:rowOff>
    </xdr:from>
    <xdr:to>
      <xdr:col>4</xdr:col>
      <xdr:colOff>476250</xdr:colOff>
      <xdr:row>3</xdr:row>
      <xdr:rowOff>133350</xdr:rowOff>
    </xdr:to>
    <xdr:sp macro="" textlink="">
      <xdr:nvSpPr>
        <xdr:cNvPr id="1016551" name="Line 4">
          <a:extLst>
            <a:ext uri="{FF2B5EF4-FFF2-40B4-BE49-F238E27FC236}">
              <a16:creationId xmlns:a16="http://schemas.microsoft.com/office/drawing/2014/main" id="{00000000-0008-0000-1C00-0000E7820F00}"/>
            </a:ext>
          </a:extLst>
        </xdr:cNvPr>
        <xdr:cNvSpPr>
          <a:spLocks noChangeShapeType="1"/>
        </xdr:cNvSpPr>
      </xdr:nvSpPr>
      <xdr:spPr bwMode="auto">
        <a:xfrm flipH="1">
          <a:off x="3105150" y="571500"/>
          <a:ext cx="628650" cy="161925"/>
        </a:xfrm>
        <a:prstGeom prst="line">
          <a:avLst/>
        </a:prstGeom>
        <a:noFill/>
        <a:ln w="9525">
          <a:solidFill>
            <a:srgbClr val="000000"/>
          </a:solidFill>
          <a:round/>
          <a:headEnd/>
          <a:tailEnd type="triangle" w="med" len="med"/>
        </a:ln>
      </xdr:spPr>
    </xdr:sp>
    <xdr:clientData/>
  </xdr:twoCellAnchor>
  <xdr:twoCellAnchor>
    <xdr:from>
      <xdr:col>3</xdr:col>
      <xdr:colOff>466725</xdr:colOff>
      <xdr:row>4</xdr:row>
      <xdr:rowOff>171450</xdr:rowOff>
    </xdr:from>
    <xdr:to>
      <xdr:col>4</xdr:col>
      <xdr:colOff>485775</xdr:colOff>
      <xdr:row>5</xdr:row>
      <xdr:rowOff>123825</xdr:rowOff>
    </xdr:to>
    <xdr:sp macro="" textlink="">
      <xdr:nvSpPr>
        <xdr:cNvPr id="1016552" name="Line 5">
          <a:extLst>
            <a:ext uri="{FF2B5EF4-FFF2-40B4-BE49-F238E27FC236}">
              <a16:creationId xmlns:a16="http://schemas.microsoft.com/office/drawing/2014/main" id="{00000000-0008-0000-1C00-0000E8820F00}"/>
            </a:ext>
          </a:extLst>
        </xdr:cNvPr>
        <xdr:cNvSpPr>
          <a:spLocks noChangeShapeType="1"/>
        </xdr:cNvSpPr>
      </xdr:nvSpPr>
      <xdr:spPr bwMode="auto">
        <a:xfrm flipH="1" flipV="1">
          <a:off x="3067050" y="1000125"/>
          <a:ext cx="676275" cy="180975"/>
        </a:xfrm>
        <a:prstGeom prst="line">
          <a:avLst/>
        </a:prstGeom>
        <a:noFill/>
        <a:ln w="9525">
          <a:solidFill>
            <a:srgbClr val="000000"/>
          </a:solidFill>
          <a:round/>
          <a:headEnd/>
          <a:tailEnd type="triangle" w="med" len="med"/>
        </a:ln>
      </xdr:spPr>
    </xdr:sp>
    <xdr:clientData/>
  </xdr:twoCellAnchor>
  <xdr:twoCellAnchor>
    <xdr:from>
      <xdr:col>4</xdr:col>
      <xdr:colOff>466725</xdr:colOff>
      <xdr:row>21</xdr:row>
      <xdr:rowOff>47625</xdr:rowOff>
    </xdr:from>
    <xdr:to>
      <xdr:col>7</xdr:col>
      <xdr:colOff>523875</xdr:colOff>
      <xdr:row>22</xdr:row>
      <xdr:rowOff>19050</xdr:rowOff>
    </xdr:to>
    <xdr:sp macro="" textlink="">
      <xdr:nvSpPr>
        <xdr:cNvPr id="22534" name="Text Box 6">
          <a:extLst>
            <a:ext uri="{FF2B5EF4-FFF2-40B4-BE49-F238E27FC236}">
              <a16:creationId xmlns:a16="http://schemas.microsoft.com/office/drawing/2014/main" id="{00000000-0008-0000-1C00-000006580000}"/>
            </a:ext>
          </a:extLst>
        </xdr:cNvPr>
        <xdr:cNvSpPr txBox="1">
          <a:spLocks noChangeArrowheads="1"/>
        </xdr:cNvSpPr>
      </xdr:nvSpPr>
      <xdr:spPr bwMode="auto">
        <a:xfrm>
          <a:off x="3724275" y="2181225"/>
          <a:ext cx="2295525" cy="200025"/>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cs-CZ" sz="1000" b="0" i="0" u="none" strike="noStrike" baseline="0">
              <a:solidFill>
                <a:srgbClr val="993366"/>
              </a:solidFill>
              <a:latin typeface="Arial CE"/>
            </a:rPr>
            <a:t>Dolní mez výsledného ocenění</a:t>
          </a:r>
        </a:p>
      </xdr:txBody>
    </xdr:sp>
    <xdr:clientData/>
  </xdr:twoCellAnchor>
  <xdr:twoCellAnchor>
    <xdr:from>
      <xdr:col>3</xdr:col>
      <xdr:colOff>504825</xdr:colOff>
      <xdr:row>21</xdr:row>
      <xdr:rowOff>152400</xdr:rowOff>
    </xdr:from>
    <xdr:to>
      <xdr:col>4</xdr:col>
      <xdr:colOff>457200</xdr:colOff>
      <xdr:row>21</xdr:row>
      <xdr:rowOff>152400</xdr:rowOff>
    </xdr:to>
    <xdr:sp macro="" textlink="">
      <xdr:nvSpPr>
        <xdr:cNvPr id="1016554" name="Line 7">
          <a:extLst>
            <a:ext uri="{FF2B5EF4-FFF2-40B4-BE49-F238E27FC236}">
              <a16:creationId xmlns:a16="http://schemas.microsoft.com/office/drawing/2014/main" id="{00000000-0008-0000-1C00-0000EA820F00}"/>
            </a:ext>
          </a:extLst>
        </xdr:cNvPr>
        <xdr:cNvSpPr>
          <a:spLocks noChangeShapeType="1"/>
        </xdr:cNvSpPr>
      </xdr:nvSpPr>
      <xdr:spPr bwMode="auto">
        <a:xfrm flipH="1">
          <a:off x="3105150" y="4305300"/>
          <a:ext cx="609600" cy="0"/>
        </a:xfrm>
        <a:prstGeom prst="line">
          <a:avLst/>
        </a:prstGeom>
        <a:noFill/>
        <a:ln w="9525">
          <a:solidFill>
            <a:srgbClr val="000000"/>
          </a:solidFill>
          <a:round/>
          <a:headEnd/>
          <a:tailEnd type="triangle" w="med" len="med"/>
        </a:ln>
      </xdr:spPr>
    </xdr:sp>
    <xdr:clientData/>
  </xdr:twoCellAnchor>
  <xdr:twoCellAnchor>
    <xdr:from>
      <xdr:col>4</xdr:col>
      <xdr:colOff>476250</xdr:colOff>
      <xdr:row>30</xdr:row>
      <xdr:rowOff>9525</xdr:rowOff>
    </xdr:from>
    <xdr:to>
      <xdr:col>7</xdr:col>
      <xdr:colOff>533400</xdr:colOff>
      <xdr:row>30</xdr:row>
      <xdr:rowOff>266700</xdr:rowOff>
    </xdr:to>
    <xdr:sp macro="" textlink="">
      <xdr:nvSpPr>
        <xdr:cNvPr id="22536" name="Text Box 8">
          <a:extLst>
            <a:ext uri="{FF2B5EF4-FFF2-40B4-BE49-F238E27FC236}">
              <a16:creationId xmlns:a16="http://schemas.microsoft.com/office/drawing/2014/main" id="{00000000-0008-0000-1C00-000008580000}"/>
            </a:ext>
          </a:extLst>
        </xdr:cNvPr>
        <xdr:cNvSpPr txBox="1">
          <a:spLocks noChangeArrowheads="1"/>
        </xdr:cNvSpPr>
      </xdr:nvSpPr>
      <xdr:spPr bwMode="auto">
        <a:xfrm>
          <a:off x="3733800" y="6600825"/>
          <a:ext cx="2295525" cy="257175"/>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cs-CZ" sz="1000" b="0" i="0" u="none" strike="noStrike" baseline="0">
              <a:solidFill>
                <a:srgbClr val="993366"/>
              </a:solidFill>
              <a:latin typeface="Arial CE"/>
            </a:rPr>
            <a:t>Rozdíl mezi tržní a substanční hodnotou</a:t>
          </a:r>
        </a:p>
      </xdr:txBody>
    </xdr:sp>
    <xdr:clientData/>
  </xdr:twoCellAnchor>
  <xdr:twoCellAnchor>
    <xdr:from>
      <xdr:col>3</xdr:col>
      <xdr:colOff>514350</xdr:colOff>
      <xdr:row>30</xdr:row>
      <xdr:rowOff>142875</xdr:rowOff>
    </xdr:from>
    <xdr:to>
      <xdr:col>4</xdr:col>
      <xdr:colOff>466725</xdr:colOff>
      <xdr:row>30</xdr:row>
      <xdr:rowOff>142875</xdr:rowOff>
    </xdr:to>
    <xdr:sp macro="" textlink="">
      <xdr:nvSpPr>
        <xdr:cNvPr id="1016556" name="Line 9">
          <a:extLst>
            <a:ext uri="{FF2B5EF4-FFF2-40B4-BE49-F238E27FC236}">
              <a16:creationId xmlns:a16="http://schemas.microsoft.com/office/drawing/2014/main" id="{00000000-0008-0000-1C00-0000EC820F00}"/>
            </a:ext>
          </a:extLst>
        </xdr:cNvPr>
        <xdr:cNvSpPr>
          <a:spLocks noChangeShapeType="1"/>
        </xdr:cNvSpPr>
      </xdr:nvSpPr>
      <xdr:spPr bwMode="auto">
        <a:xfrm flipH="1">
          <a:off x="3114675" y="6210300"/>
          <a:ext cx="609600" cy="0"/>
        </a:xfrm>
        <a:prstGeom prst="line">
          <a:avLst/>
        </a:prstGeom>
        <a:noFill/>
        <a:ln w="9525">
          <a:solidFill>
            <a:srgbClr val="000000"/>
          </a:solidFill>
          <a:round/>
          <a:headEnd/>
          <a:tailEnd type="triangle" w="med" len="med"/>
        </a:ln>
      </xdr:spPr>
    </xdr:sp>
    <xdr:clientData/>
  </xdr:twoCellAnchor>
  <xdr:twoCellAnchor>
    <xdr:from>
      <xdr:col>3</xdr:col>
      <xdr:colOff>514350</xdr:colOff>
      <xdr:row>28</xdr:row>
      <xdr:rowOff>142875</xdr:rowOff>
    </xdr:from>
    <xdr:to>
      <xdr:col>4</xdr:col>
      <xdr:colOff>466725</xdr:colOff>
      <xdr:row>28</xdr:row>
      <xdr:rowOff>142875</xdr:rowOff>
    </xdr:to>
    <xdr:sp macro="" textlink="">
      <xdr:nvSpPr>
        <xdr:cNvPr id="1016557" name="Line 11">
          <a:extLst>
            <a:ext uri="{FF2B5EF4-FFF2-40B4-BE49-F238E27FC236}">
              <a16:creationId xmlns:a16="http://schemas.microsoft.com/office/drawing/2014/main" id="{00000000-0008-0000-1C00-0000ED820F00}"/>
            </a:ext>
          </a:extLst>
        </xdr:cNvPr>
        <xdr:cNvSpPr>
          <a:spLocks noChangeShapeType="1"/>
        </xdr:cNvSpPr>
      </xdr:nvSpPr>
      <xdr:spPr bwMode="auto">
        <a:xfrm flipH="1">
          <a:off x="3114675" y="5657850"/>
          <a:ext cx="609600" cy="0"/>
        </a:xfrm>
        <a:prstGeom prst="line">
          <a:avLst/>
        </a:prstGeom>
        <a:noFill/>
        <a:ln w="9525">
          <a:solidFill>
            <a:srgbClr val="000000"/>
          </a:solidFill>
          <a:round/>
          <a:headEnd/>
          <a:tailEnd type="triangle" w="med" len="med"/>
        </a:ln>
      </xdr:spPr>
    </xdr:sp>
    <xdr:clientData/>
  </xdr:twoCellAnchor>
  <xdr:twoCellAnchor>
    <xdr:from>
      <xdr:col>4</xdr:col>
      <xdr:colOff>476250</xdr:colOff>
      <xdr:row>27</xdr:row>
      <xdr:rowOff>104775</xdr:rowOff>
    </xdr:from>
    <xdr:to>
      <xdr:col>7</xdr:col>
      <xdr:colOff>533400</xdr:colOff>
      <xdr:row>29</xdr:row>
      <xdr:rowOff>38100</xdr:rowOff>
    </xdr:to>
    <xdr:sp macro="" textlink="">
      <xdr:nvSpPr>
        <xdr:cNvPr id="22540" name="Text Box 12">
          <a:extLst>
            <a:ext uri="{FF2B5EF4-FFF2-40B4-BE49-F238E27FC236}">
              <a16:creationId xmlns:a16="http://schemas.microsoft.com/office/drawing/2014/main" id="{00000000-0008-0000-1C00-00000C580000}"/>
            </a:ext>
          </a:extLst>
        </xdr:cNvPr>
        <xdr:cNvSpPr txBox="1">
          <a:spLocks noChangeArrowheads="1"/>
        </xdr:cNvSpPr>
      </xdr:nvSpPr>
      <xdr:spPr bwMode="auto">
        <a:xfrm>
          <a:off x="3733800" y="5981700"/>
          <a:ext cx="2295525" cy="371475"/>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cs-CZ" sz="1000" b="0" i="0" u="none" strike="noStrike" baseline="0">
              <a:solidFill>
                <a:srgbClr val="993366"/>
              </a:solidFill>
              <a:latin typeface="Arial CE"/>
            </a:rPr>
            <a:t>Rozdíl mezi tržní hodnotou a hodnotou podle paušální metody KČV</a:t>
          </a:r>
        </a:p>
      </xdr:txBody>
    </xdr:sp>
    <xdr:clientData/>
  </xdr:twoCellAnchor>
  <xdr:twoCellAnchor>
    <xdr:from>
      <xdr:col>3</xdr:col>
      <xdr:colOff>552450</xdr:colOff>
      <xdr:row>11</xdr:row>
      <xdr:rowOff>114300</xdr:rowOff>
    </xdr:from>
    <xdr:to>
      <xdr:col>4</xdr:col>
      <xdr:colOff>523875</xdr:colOff>
      <xdr:row>12</xdr:row>
      <xdr:rowOff>104775</xdr:rowOff>
    </xdr:to>
    <xdr:sp macro="" textlink="">
      <xdr:nvSpPr>
        <xdr:cNvPr id="1016559" name="Line 7">
          <a:extLst>
            <a:ext uri="{FF2B5EF4-FFF2-40B4-BE49-F238E27FC236}">
              <a16:creationId xmlns:a16="http://schemas.microsoft.com/office/drawing/2014/main" id="{00000000-0008-0000-1C00-0000EF820F00}"/>
            </a:ext>
          </a:extLst>
        </xdr:cNvPr>
        <xdr:cNvSpPr>
          <a:spLocks noChangeShapeType="1"/>
        </xdr:cNvSpPr>
      </xdr:nvSpPr>
      <xdr:spPr bwMode="auto">
        <a:xfrm flipH="1" flipV="1">
          <a:off x="3152775" y="2276475"/>
          <a:ext cx="628650" cy="180975"/>
        </a:xfrm>
        <a:prstGeom prst="line">
          <a:avLst/>
        </a:prstGeom>
        <a:noFill/>
        <a:ln w="9525">
          <a:solidFill>
            <a:srgbClr val="000000"/>
          </a:solidFill>
          <a:round/>
          <a:headEnd/>
          <a:tailEnd type="triangle" w="med" len="med"/>
        </a:ln>
      </xdr:spPr>
    </xdr:sp>
    <xdr:clientData/>
  </xdr:twoCellAnchor>
  <xdr:twoCellAnchor>
    <xdr:from>
      <xdr:col>3</xdr:col>
      <xdr:colOff>542925</xdr:colOff>
      <xdr:row>12</xdr:row>
      <xdr:rowOff>133350</xdr:rowOff>
    </xdr:from>
    <xdr:to>
      <xdr:col>4</xdr:col>
      <xdr:colOff>552450</xdr:colOff>
      <xdr:row>13</xdr:row>
      <xdr:rowOff>104775</xdr:rowOff>
    </xdr:to>
    <xdr:sp macro="" textlink="">
      <xdr:nvSpPr>
        <xdr:cNvPr id="1016560" name="Line 7">
          <a:extLst>
            <a:ext uri="{FF2B5EF4-FFF2-40B4-BE49-F238E27FC236}">
              <a16:creationId xmlns:a16="http://schemas.microsoft.com/office/drawing/2014/main" id="{00000000-0008-0000-1C00-0000F0820F00}"/>
            </a:ext>
          </a:extLst>
        </xdr:cNvPr>
        <xdr:cNvSpPr>
          <a:spLocks noChangeShapeType="1"/>
        </xdr:cNvSpPr>
      </xdr:nvSpPr>
      <xdr:spPr bwMode="auto">
        <a:xfrm flipH="1">
          <a:off x="3143250" y="2486025"/>
          <a:ext cx="666750" cy="161925"/>
        </a:xfrm>
        <a:prstGeom prst="line">
          <a:avLst/>
        </a:prstGeom>
        <a:noFill/>
        <a:ln w="9525">
          <a:solidFill>
            <a:srgbClr val="000000"/>
          </a:solidFill>
          <a:round/>
          <a:headEnd/>
          <a:tailEnd type="triangle" w="med" len="med"/>
        </a:ln>
      </xdr:spPr>
    </xdr:sp>
    <xdr:clientData/>
  </xdr:twoCellAnchor>
  <xdr:twoCellAnchor>
    <xdr:from>
      <xdr:col>4</xdr:col>
      <xdr:colOff>504825</xdr:colOff>
      <xdr:row>11</xdr:row>
      <xdr:rowOff>123826</xdr:rowOff>
    </xdr:from>
    <xdr:to>
      <xdr:col>7</xdr:col>
      <xdr:colOff>561975</xdr:colOff>
      <xdr:row>13</xdr:row>
      <xdr:rowOff>85726</xdr:rowOff>
    </xdr:to>
    <xdr:sp macro="" textlink="">
      <xdr:nvSpPr>
        <xdr:cNvPr id="13" name="Text Box 6">
          <a:extLst>
            <a:ext uri="{FF2B5EF4-FFF2-40B4-BE49-F238E27FC236}">
              <a16:creationId xmlns:a16="http://schemas.microsoft.com/office/drawing/2014/main" id="{00000000-0008-0000-1C00-00000D000000}"/>
            </a:ext>
          </a:extLst>
        </xdr:cNvPr>
        <xdr:cNvSpPr txBox="1">
          <a:spLocks noChangeArrowheads="1"/>
        </xdr:cNvSpPr>
      </xdr:nvSpPr>
      <xdr:spPr bwMode="auto">
        <a:xfrm>
          <a:off x="3762375" y="3362326"/>
          <a:ext cx="2295525" cy="34290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cs-CZ" sz="1000" b="0" i="0" u="none" strike="noStrike" baseline="0">
              <a:solidFill>
                <a:srgbClr val="993366"/>
              </a:solidFill>
              <a:latin typeface="Arial CE"/>
            </a:rPr>
            <a:t>Zarámování a ověření výsledku hlavních výnosových metod</a:t>
          </a:r>
        </a:p>
      </xdr:txBody>
    </xdr:sp>
    <xdr:clientData/>
  </xdr:twoCellAnchor>
  <xdr:twoCellAnchor>
    <xdr:from>
      <xdr:col>3</xdr:col>
      <xdr:colOff>542925</xdr:colOff>
      <xdr:row>10</xdr:row>
      <xdr:rowOff>133350</xdr:rowOff>
    </xdr:from>
    <xdr:to>
      <xdr:col>4</xdr:col>
      <xdr:colOff>514350</xdr:colOff>
      <xdr:row>11</xdr:row>
      <xdr:rowOff>123825</xdr:rowOff>
    </xdr:to>
    <xdr:sp macro="" textlink="">
      <xdr:nvSpPr>
        <xdr:cNvPr id="1016562" name="Line 7">
          <a:extLst>
            <a:ext uri="{FF2B5EF4-FFF2-40B4-BE49-F238E27FC236}">
              <a16:creationId xmlns:a16="http://schemas.microsoft.com/office/drawing/2014/main" id="{00000000-0008-0000-1C00-0000F2820F00}"/>
            </a:ext>
          </a:extLst>
        </xdr:cNvPr>
        <xdr:cNvSpPr>
          <a:spLocks noChangeShapeType="1"/>
        </xdr:cNvSpPr>
      </xdr:nvSpPr>
      <xdr:spPr bwMode="auto">
        <a:xfrm flipH="1" flipV="1">
          <a:off x="3143250" y="2105025"/>
          <a:ext cx="628650" cy="180975"/>
        </a:xfrm>
        <a:prstGeom prst="line">
          <a:avLst/>
        </a:prstGeom>
        <a:noFill/>
        <a:ln w="9525">
          <a:solidFill>
            <a:srgbClr val="000000"/>
          </a:solidFill>
          <a:round/>
          <a:headEnd/>
          <a:tailEnd type="triangle" w="med" len="med"/>
        </a:ln>
      </xdr:spPr>
    </xdr:sp>
    <xdr:clientData/>
  </xdr:twoCellAnchor>
  <xdr:twoCellAnchor>
    <xdr:from>
      <xdr:col>3</xdr:col>
      <xdr:colOff>552450</xdr:colOff>
      <xdr:row>13</xdr:row>
      <xdr:rowOff>85725</xdr:rowOff>
    </xdr:from>
    <xdr:to>
      <xdr:col>4</xdr:col>
      <xdr:colOff>504825</xdr:colOff>
      <xdr:row>15</xdr:row>
      <xdr:rowOff>104775</xdr:rowOff>
    </xdr:to>
    <xdr:sp macro="" textlink="">
      <xdr:nvSpPr>
        <xdr:cNvPr id="1016563" name="Line 7">
          <a:extLst>
            <a:ext uri="{FF2B5EF4-FFF2-40B4-BE49-F238E27FC236}">
              <a16:creationId xmlns:a16="http://schemas.microsoft.com/office/drawing/2014/main" id="{00000000-0008-0000-1C00-0000F3820F00}"/>
            </a:ext>
          </a:extLst>
        </xdr:cNvPr>
        <xdr:cNvSpPr>
          <a:spLocks noChangeShapeType="1"/>
        </xdr:cNvSpPr>
      </xdr:nvSpPr>
      <xdr:spPr bwMode="auto">
        <a:xfrm flipH="1">
          <a:off x="3152775" y="2628900"/>
          <a:ext cx="609600" cy="40005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workbookViewId="0">
      <selection sqref="A1:E1"/>
    </sheetView>
  </sheetViews>
  <sheetFormatPr defaultRowHeight="12.75" x14ac:dyDescent="0.2"/>
  <cols>
    <col min="1" max="1" width="6.140625" style="487" customWidth="1"/>
    <col min="2" max="2" width="22" style="487" customWidth="1"/>
    <col min="3" max="3" width="30.28515625" style="487" customWidth="1"/>
    <col min="4" max="4" width="15.85546875" style="487" customWidth="1"/>
    <col min="5" max="5" width="11.7109375" style="487" customWidth="1"/>
    <col min="6" max="16384" width="9.140625" style="487"/>
  </cols>
  <sheetData>
    <row r="1" spans="1:5" ht="18" x14ac:dyDescent="0.2">
      <c r="A1" s="1483" t="s">
        <v>530</v>
      </c>
      <c r="B1" s="1483"/>
      <c r="C1" s="1483"/>
      <c r="D1" s="1483"/>
      <c r="E1" s="1483"/>
    </row>
    <row r="2" spans="1:5" ht="18" x14ac:dyDescent="0.2">
      <c r="A2" s="1483" t="s">
        <v>683</v>
      </c>
      <c r="B2" s="1483"/>
      <c r="C2" s="1483"/>
      <c r="D2" s="1483"/>
      <c r="E2" s="1483"/>
    </row>
    <row r="3" spans="1:5" ht="18" x14ac:dyDescent="0.2">
      <c r="A3" s="892" t="s">
        <v>531</v>
      </c>
      <c r="B3" s="890"/>
      <c r="C3" s="890"/>
      <c r="D3" s="890"/>
    </row>
    <row r="4" spans="1:5" ht="18" x14ac:dyDescent="0.2">
      <c r="A4" s="891" t="s">
        <v>928</v>
      </c>
      <c r="B4" s="890"/>
      <c r="C4" s="890"/>
      <c r="D4" s="890"/>
    </row>
    <row r="5" spans="1:5" ht="18" x14ac:dyDescent="0.2">
      <c r="A5" s="891" t="s">
        <v>929</v>
      </c>
      <c r="B5" s="890"/>
      <c r="C5" s="890"/>
      <c r="D5" s="890"/>
    </row>
    <row r="6" spans="1:5" ht="18" x14ac:dyDescent="0.2">
      <c r="A6" s="891"/>
      <c r="B6" s="890"/>
      <c r="C6" s="890"/>
      <c r="D6" s="890"/>
    </row>
    <row r="7" spans="1:5" ht="12.75" customHeight="1" x14ac:dyDescent="0.2">
      <c r="A7" s="922" t="s">
        <v>555</v>
      </c>
      <c r="B7" s="890"/>
      <c r="C7" s="890"/>
      <c r="D7" s="890"/>
    </row>
    <row r="8" spans="1:5" ht="12.75" customHeight="1" x14ac:dyDescent="0.2">
      <c r="A8" s="922" t="s">
        <v>619</v>
      </c>
      <c r="B8" s="890"/>
      <c r="C8" s="890"/>
      <c r="D8" s="890"/>
    </row>
    <row r="9" spans="1:5" ht="12.75" customHeight="1" x14ac:dyDescent="0.2">
      <c r="A9" s="922" t="s">
        <v>620</v>
      </c>
      <c r="B9" s="890"/>
      <c r="C9" s="890"/>
      <c r="D9" s="890"/>
    </row>
    <row r="10" spans="1:5" ht="12.75" customHeight="1" x14ac:dyDescent="0.2">
      <c r="A10" s="922" t="s">
        <v>621</v>
      </c>
      <c r="B10" s="890"/>
      <c r="C10" s="890"/>
      <c r="D10" s="890"/>
    </row>
    <row r="11" spans="1:5" ht="12.75" customHeight="1" x14ac:dyDescent="0.2">
      <c r="A11" s="922"/>
      <c r="B11" s="890"/>
      <c r="C11" s="890"/>
      <c r="D11" s="890"/>
    </row>
    <row r="12" spans="1:5" ht="13.5" customHeight="1" x14ac:dyDescent="0.25">
      <c r="A12" s="924" t="s">
        <v>556</v>
      </c>
      <c r="B12" s="890"/>
      <c r="C12" s="890"/>
      <c r="D12" s="890"/>
    </row>
    <row r="13" spans="1:5" ht="13.5" customHeight="1" x14ac:dyDescent="0.25">
      <c r="A13" s="924" t="s">
        <v>558</v>
      </c>
      <c r="B13" s="890"/>
      <c r="C13" s="890"/>
      <c r="D13" s="890"/>
    </row>
    <row r="14" spans="1:5" ht="13.5" customHeight="1" x14ac:dyDescent="0.25">
      <c r="A14" s="924" t="s">
        <v>559</v>
      </c>
      <c r="B14" s="890"/>
      <c r="C14" s="890"/>
      <c r="D14" s="890"/>
    </row>
    <row r="15" spans="1:5" ht="15" x14ac:dyDescent="0.2">
      <c r="A15" s="923"/>
    </row>
    <row r="16" spans="1:5" x14ac:dyDescent="0.2">
      <c r="A16" s="900" t="s">
        <v>529</v>
      </c>
      <c r="B16" s="902"/>
      <c r="C16" s="901" t="s">
        <v>441</v>
      </c>
      <c r="D16" s="1489" t="s">
        <v>542</v>
      </c>
      <c r="E16" s="1490"/>
    </row>
    <row r="17" spans="1:6" x14ac:dyDescent="0.2">
      <c r="A17" s="903"/>
      <c r="B17" s="904"/>
      <c r="C17" s="905"/>
      <c r="D17" s="906" t="s">
        <v>537</v>
      </c>
      <c r="E17" s="907" t="s">
        <v>541</v>
      </c>
    </row>
    <row r="18" spans="1:6" x14ac:dyDescent="0.2">
      <c r="A18" s="531" t="s">
        <v>437</v>
      </c>
    </row>
    <row r="19" spans="1:6" x14ac:dyDescent="0.2">
      <c r="A19" s="888">
        <v>1</v>
      </c>
      <c r="B19" s="911" t="s">
        <v>659</v>
      </c>
      <c r="C19" s="1486" t="s">
        <v>899</v>
      </c>
      <c r="D19" s="1488" t="s">
        <v>519</v>
      </c>
      <c r="E19" s="1484" t="s">
        <v>900</v>
      </c>
      <c r="F19" s="910"/>
    </row>
    <row r="20" spans="1:6" x14ac:dyDescent="0.2">
      <c r="A20" s="888">
        <v>2</v>
      </c>
      <c r="B20" s="911" t="s">
        <v>660</v>
      </c>
      <c r="C20" s="1487"/>
      <c r="D20" s="1488"/>
      <c r="E20" s="1485"/>
      <c r="F20" s="910"/>
    </row>
    <row r="21" spans="1:6" x14ac:dyDescent="0.2">
      <c r="A21" s="888">
        <v>3</v>
      </c>
      <c r="B21" s="911" t="s">
        <v>661</v>
      </c>
      <c r="C21" s="1487"/>
      <c r="D21" s="1488"/>
      <c r="E21" s="1485"/>
      <c r="F21" s="910"/>
    </row>
    <row r="22" spans="1:6" ht="25.5" x14ac:dyDescent="0.2">
      <c r="A22" s="888">
        <v>4</v>
      </c>
      <c r="B22" s="912" t="s">
        <v>436</v>
      </c>
      <c r="C22" s="886" t="s">
        <v>440</v>
      </c>
      <c r="D22" s="1488"/>
      <c r="E22" s="1485"/>
      <c r="F22" s="910"/>
    </row>
    <row r="23" spans="1:6" ht="25.5" x14ac:dyDescent="0.2">
      <c r="A23" s="889">
        <v>5</v>
      </c>
      <c r="B23" s="913" t="s">
        <v>662</v>
      </c>
      <c r="C23" s="886" t="s">
        <v>663</v>
      </c>
      <c r="D23" s="887" t="s">
        <v>664</v>
      </c>
      <c r="E23" s="1475" t="s">
        <v>901</v>
      </c>
    </row>
    <row r="24" spans="1:6" ht="25.5" x14ac:dyDescent="0.2">
      <c r="A24" s="889">
        <v>6</v>
      </c>
      <c r="B24" s="913" t="s">
        <v>123</v>
      </c>
      <c r="C24" s="886" t="s">
        <v>521</v>
      </c>
      <c r="D24" s="887" t="s">
        <v>520</v>
      </c>
      <c r="E24" s="1475" t="s">
        <v>902</v>
      </c>
    </row>
    <row r="25" spans="1:6" x14ac:dyDescent="0.2">
      <c r="A25" s="531" t="s">
        <v>442</v>
      </c>
      <c r="B25" s="530"/>
      <c r="C25" s="529"/>
      <c r="E25" s="908"/>
    </row>
    <row r="26" spans="1:6" x14ac:dyDescent="0.2">
      <c r="A26" s="888">
        <v>7</v>
      </c>
      <c r="B26" s="911" t="s">
        <v>443</v>
      </c>
      <c r="C26" s="1486" t="s">
        <v>903</v>
      </c>
      <c r="D26" s="1487" t="s">
        <v>522</v>
      </c>
      <c r="E26" s="1491" t="s">
        <v>904</v>
      </c>
    </row>
    <row r="27" spans="1:6" x14ac:dyDescent="0.2">
      <c r="A27" s="888">
        <v>8</v>
      </c>
      <c r="B27" s="911" t="s">
        <v>445</v>
      </c>
      <c r="C27" s="1487"/>
      <c r="D27" s="1487"/>
      <c r="E27" s="1492"/>
    </row>
    <row r="28" spans="1:6" x14ac:dyDescent="0.2">
      <c r="A28" s="888">
        <v>9</v>
      </c>
      <c r="B28" s="911" t="s">
        <v>447</v>
      </c>
      <c r="C28" s="1487"/>
      <c r="D28" s="1487"/>
      <c r="E28" s="1493"/>
    </row>
    <row r="29" spans="1:6" x14ac:dyDescent="0.2">
      <c r="A29" s="531" t="s">
        <v>448</v>
      </c>
      <c r="B29" s="530"/>
      <c r="C29" s="529"/>
      <c r="E29" s="908"/>
    </row>
    <row r="30" spans="1:6" x14ac:dyDescent="0.2">
      <c r="A30" s="888">
        <v>10</v>
      </c>
      <c r="B30" s="911" t="s">
        <v>452</v>
      </c>
      <c r="C30" s="1487" t="s">
        <v>456</v>
      </c>
      <c r="D30" s="1488" t="s">
        <v>665</v>
      </c>
      <c r="E30" s="1484" t="s">
        <v>905</v>
      </c>
    </row>
    <row r="31" spans="1:6" x14ac:dyDescent="0.2">
      <c r="A31" s="888">
        <v>11</v>
      </c>
      <c r="B31" s="911" t="s">
        <v>453</v>
      </c>
      <c r="C31" s="1487"/>
      <c r="D31" s="1488"/>
      <c r="E31" s="1485"/>
    </row>
    <row r="32" spans="1:6" x14ac:dyDescent="0.2">
      <c r="A32" s="888">
        <v>12</v>
      </c>
      <c r="B32" s="911" t="s">
        <v>454</v>
      </c>
      <c r="C32" s="1487"/>
      <c r="D32" s="1488"/>
      <c r="E32" s="1485"/>
    </row>
    <row r="33" spans="1:5" x14ac:dyDescent="0.2">
      <c r="A33" s="888">
        <v>13</v>
      </c>
      <c r="B33" s="911" t="s">
        <v>455</v>
      </c>
      <c r="C33" s="1487"/>
      <c r="D33" s="1488"/>
      <c r="E33" s="1485"/>
    </row>
    <row r="34" spans="1:5" x14ac:dyDescent="0.2">
      <c r="A34" s="888">
        <v>14</v>
      </c>
      <c r="B34" s="911" t="s">
        <v>460</v>
      </c>
      <c r="C34" s="886" t="s">
        <v>459</v>
      </c>
      <c r="D34" s="1488"/>
      <c r="E34" s="1485"/>
    </row>
    <row r="35" spans="1:5" x14ac:dyDescent="0.2">
      <c r="A35" s="531" t="s">
        <v>669</v>
      </c>
      <c r="B35" s="530"/>
      <c r="C35" s="529"/>
      <c r="E35" s="908"/>
    </row>
    <row r="36" spans="1:5" ht="42" customHeight="1" x14ac:dyDescent="0.2">
      <c r="A36" s="888">
        <v>15</v>
      </c>
      <c r="B36" s="911" t="s">
        <v>666</v>
      </c>
      <c r="C36" s="886" t="s">
        <v>668</v>
      </c>
      <c r="D36" s="772" t="s">
        <v>667</v>
      </c>
      <c r="E36" s="1476" t="s">
        <v>674</v>
      </c>
    </row>
    <row r="37" spans="1:5" x14ac:dyDescent="0.2">
      <c r="A37" s="531" t="s">
        <v>470</v>
      </c>
      <c r="B37" s="530"/>
      <c r="C37" s="529"/>
      <c r="E37" s="908"/>
    </row>
    <row r="38" spans="1:5" ht="38.25" x14ac:dyDescent="0.2">
      <c r="A38" s="888">
        <v>16</v>
      </c>
      <c r="B38" s="911" t="s">
        <v>469</v>
      </c>
      <c r="C38" s="886" t="s">
        <v>670</v>
      </c>
      <c r="D38" s="772" t="s">
        <v>671</v>
      </c>
      <c r="E38" s="1476" t="s">
        <v>906</v>
      </c>
    </row>
    <row r="39" spans="1:5" ht="25.5" x14ac:dyDescent="0.2">
      <c r="A39" s="888">
        <v>17</v>
      </c>
      <c r="B39" s="911" t="s">
        <v>484</v>
      </c>
      <c r="C39" s="886" t="s">
        <v>672</v>
      </c>
      <c r="D39" s="772" t="s">
        <v>673</v>
      </c>
      <c r="E39" s="1476" t="s">
        <v>907</v>
      </c>
    </row>
    <row r="40" spans="1:5" x14ac:dyDescent="0.2">
      <c r="A40" s="531" t="s">
        <v>472</v>
      </c>
      <c r="B40" s="530"/>
      <c r="C40" s="529"/>
      <c r="E40" s="908"/>
    </row>
    <row r="41" spans="1:5" ht="25.5" x14ac:dyDescent="0.2">
      <c r="A41" s="888">
        <v>18</v>
      </c>
      <c r="B41" s="911" t="s">
        <v>473</v>
      </c>
      <c r="C41" s="886" t="s">
        <v>474</v>
      </c>
      <c r="D41" s="772" t="s">
        <v>523</v>
      </c>
      <c r="E41" s="1476" t="s">
        <v>908</v>
      </c>
    </row>
    <row r="42" spans="1:5" x14ac:dyDescent="0.2">
      <c r="A42" s="531" t="s">
        <v>485</v>
      </c>
      <c r="B42" s="530"/>
      <c r="C42" s="529"/>
      <c r="E42" s="908"/>
    </row>
    <row r="43" spans="1:5" ht="38.25" x14ac:dyDescent="0.2">
      <c r="A43" s="888">
        <v>19</v>
      </c>
      <c r="B43" s="911" t="s">
        <v>543</v>
      </c>
      <c r="C43" s="886" t="s">
        <v>486</v>
      </c>
      <c r="D43" s="772" t="s">
        <v>524</v>
      </c>
      <c r="E43" s="1476" t="s">
        <v>909</v>
      </c>
    </row>
    <row r="44" spans="1:5" ht="38.25" x14ac:dyDescent="0.2">
      <c r="A44" s="888">
        <v>20</v>
      </c>
      <c r="B44" s="911" t="s">
        <v>544</v>
      </c>
      <c r="C44" s="886" t="s">
        <v>487</v>
      </c>
      <c r="D44" s="772" t="s">
        <v>525</v>
      </c>
      <c r="E44" s="1476" t="s">
        <v>910</v>
      </c>
    </row>
    <row r="45" spans="1:5" x14ac:dyDescent="0.2">
      <c r="A45" s="888">
        <v>21</v>
      </c>
      <c r="B45" s="911" t="s">
        <v>254</v>
      </c>
      <c r="C45" s="772" t="s">
        <v>491</v>
      </c>
      <c r="D45" s="772" t="s">
        <v>879</v>
      </c>
      <c r="E45" s="1476" t="s">
        <v>911</v>
      </c>
    </row>
    <row r="46" spans="1:5" x14ac:dyDescent="0.2">
      <c r="A46" s="531" t="s">
        <v>503</v>
      </c>
      <c r="B46" s="530"/>
      <c r="C46" s="529"/>
      <c r="E46" s="908"/>
    </row>
    <row r="47" spans="1:5" ht="25.5" x14ac:dyDescent="0.2">
      <c r="A47" s="888">
        <v>22</v>
      </c>
      <c r="B47" s="911" t="s">
        <v>504</v>
      </c>
      <c r="C47" s="886" t="s">
        <v>506</v>
      </c>
      <c r="D47" s="886" t="s">
        <v>675</v>
      </c>
      <c r="E47" s="1475" t="s">
        <v>912</v>
      </c>
    </row>
    <row r="48" spans="1:5" ht="25.5" x14ac:dyDescent="0.2">
      <c r="A48" s="888">
        <v>23</v>
      </c>
      <c r="B48" s="911" t="s">
        <v>255</v>
      </c>
      <c r="C48" s="886" t="s">
        <v>507</v>
      </c>
      <c r="D48" s="772" t="s">
        <v>676</v>
      </c>
      <c r="E48" s="1476" t="s">
        <v>913</v>
      </c>
    </row>
    <row r="49" spans="1:5" ht="25.5" x14ac:dyDescent="0.2">
      <c r="A49" s="888">
        <v>24</v>
      </c>
      <c r="B49" s="911" t="s">
        <v>505</v>
      </c>
      <c r="C49" s="886" t="s">
        <v>508</v>
      </c>
      <c r="D49" s="772" t="s">
        <v>526</v>
      </c>
      <c r="E49" s="1476" t="s">
        <v>914</v>
      </c>
    </row>
    <row r="50" spans="1:5" x14ac:dyDescent="0.2">
      <c r="A50" s="531" t="s">
        <v>875</v>
      </c>
      <c r="B50" s="530"/>
      <c r="C50" s="529"/>
      <c r="E50" s="908"/>
    </row>
    <row r="51" spans="1:5" x14ac:dyDescent="0.2">
      <c r="A51" s="888">
        <v>25</v>
      </c>
      <c r="B51" s="911" t="s">
        <v>876</v>
      </c>
      <c r="C51" s="1409" t="s">
        <v>878</v>
      </c>
      <c r="D51" s="1408" t="s">
        <v>877</v>
      </c>
      <c r="E51" s="1476" t="s">
        <v>915</v>
      </c>
    </row>
    <row r="52" spans="1:5" x14ac:dyDescent="0.2">
      <c r="A52" s="531" t="s">
        <v>516</v>
      </c>
      <c r="B52" s="530"/>
      <c r="C52" s="529"/>
      <c r="E52" s="908"/>
    </row>
    <row r="53" spans="1:5" x14ac:dyDescent="0.2">
      <c r="A53" s="888">
        <v>26</v>
      </c>
      <c r="B53" s="911" t="s">
        <v>181</v>
      </c>
      <c r="C53" s="886" t="s">
        <v>517</v>
      </c>
      <c r="D53" s="772" t="s">
        <v>528</v>
      </c>
      <c r="E53" s="1476" t="s">
        <v>916</v>
      </c>
    </row>
    <row r="54" spans="1:5" ht="14.25" customHeight="1" x14ac:dyDescent="0.2">
      <c r="A54" s="888">
        <v>27</v>
      </c>
      <c r="B54" s="911" t="s">
        <v>370</v>
      </c>
      <c r="C54" s="886" t="s">
        <v>518</v>
      </c>
      <c r="D54" s="772" t="s">
        <v>538</v>
      </c>
      <c r="E54" s="1476" t="s">
        <v>917</v>
      </c>
    </row>
    <row r="55" spans="1:5" s="531" customFormat="1" x14ac:dyDescent="0.2">
      <c r="A55" s="531" t="s">
        <v>539</v>
      </c>
      <c r="E55" s="909"/>
    </row>
    <row r="56" spans="1:5" ht="76.5" x14ac:dyDescent="0.2">
      <c r="A56" s="888">
        <v>28</v>
      </c>
      <c r="B56" s="911" t="s">
        <v>539</v>
      </c>
      <c r="C56" s="886" t="s">
        <v>540</v>
      </c>
      <c r="D56" s="772" t="s">
        <v>527</v>
      </c>
      <c r="E56" s="1476" t="s">
        <v>918</v>
      </c>
    </row>
  </sheetData>
  <mergeCells count="12">
    <mergeCell ref="A1:E1"/>
    <mergeCell ref="A2:E2"/>
    <mergeCell ref="E30:E34"/>
    <mergeCell ref="C19:C21"/>
    <mergeCell ref="C30:C33"/>
    <mergeCell ref="D19:D22"/>
    <mergeCell ref="D26:D28"/>
    <mergeCell ref="C26:C28"/>
    <mergeCell ref="D30:D34"/>
    <mergeCell ref="D16:E16"/>
    <mergeCell ref="E19:E22"/>
    <mergeCell ref="E26:E28"/>
  </mergeCells>
  <phoneticPr fontId="0" type="noConversion"/>
  <hyperlinks>
    <hyperlink ref="B19" location="'1 Regrese - Čas lin'!A1" display="Regrese - Čas lineární" xr:uid="{00000000-0004-0000-0000-000000000000}"/>
    <hyperlink ref="B20" location="'2 Regrese - HDP log'!A1" display="Regrese - HDP logarit." xr:uid="{00000000-0004-0000-0000-000001000000}"/>
    <hyperlink ref="B21" location="'3 Regrese - HDP lin'!A1" display="Regrese - HDP lineární" xr:uid="{00000000-0004-0000-0000-000002000000}"/>
    <hyperlink ref="B22" location="'4 Vnější potenciál'!A1" display="Vnější potenciál" xr:uid="{00000000-0004-0000-0000-000003000000}"/>
    <hyperlink ref="B24" location="'6 Tržby UNIPO'!A1" display="Tržby UNIPO" xr:uid="{00000000-0004-0000-0000-000004000000}"/>
    <hyperlink ref="B26" location="'7 Rozvaha'!A1" display="Rozvaha" xr:uid="{00000000-0004-0000-0000-000005000000}"/>
    <hyperlink ref="B27" location="'8 Výsledovka'!A1" display="Výsledovka" xr:uid="{00000000-0004-0000-0000-000006000000}"/>
    <hyperlink ref="B28" location="'9 Cash flow'!A1" display="Cash flow" xr:uid="{00000000-0004-0000-0000-000007000000}"/>
    <hyperlink ref="B30" location="'10 Struktura rozvahy'!A1" display="Struktura rozvahy" xr:uid="{00000000-0004-0000-0000-000008000000}"/>
    <hyperlink ref="B31" location="'11 Tempo rozvaha'!A1" display="Tempo rozvaha" xr:uid="{00000000-0004-0000-0000-000009000000}"/>
    <hyperlink ref="B32" location="'12 Struktura výsledovky'!A1" display="Struktura výsledovky" xr:uid="{00000000-0004-0000-0000-00000A000000}"/>
    <hyperlink ref="B33" location="'13 Tempo výsledovka'!A1" display="Tempo výsledovka" xr:uid="{00000000-0004-0000-0000-00000B000000}"/>
    <hyperlink ref="B34" location="'14 Ukazatele'!A1" display="Ukazatele" xr:uid="{00000000-0004-0000-0000-00000C000000}"/>
    <hyperlink ref="B38" location="'16 Generátory'!A1" display="Generátory" xr:uid="{00000000-0004-0000-0000-00000D000000}"/>
    <hyperlink ref="B39" location="'17 Generátory - ocenění'!A1" display="Generátory - ocenění" xr:uid="{00000000-0004-0000-0000-00000E000000}"/>
    <hyperlink ref="B41" location="'18 Plán'!A1" display="Plán" xr:uid="{00000000-0004-0000-0000-00000F000000}"/>
    <hyperlink ref="B43" location="'19 nVK - CAPM'!A1" display="nVK - CAPM" xr:uid="{00000000-0004-0000-0000-000010000000}"/>
    <hyperlink ref="B44" location="'20 nVK - Stavebnice'!A1" display="nVK - Stavebnice" xr:uid="{00000000-0004-0000-0000-000011000000}"/>
    <hyperlink ref="B45" location="'21 WACC'!A1" display="WACC" xr:uid="{00000000-0004-0000-0000-000012000000}"/>
    <hyperlink ref="B47" location="'22 DCF'!A1" display="DCF" xr:uid="{00000000-0004-0000-0000-000013000000}"/>
    <hyperlink ref="B48" location="'23 EVA'!A1" display="EVA" xr:uid="{00000000-0004-0000-0000-000014000000}"/>
    <hyperlink ref="B49" location="'24 KČV'!A1" display="KČV" xr:uid="{00000000-0004-0000-0000-000015000000}"/>
    <hyperlink ref="B53" location="'26 Pohledávka'!A1" display="Pohledávky" xr:uid="{00000000-0004-0000-0000-000016000000}"/>
    <hyperlink ref="B54" location="'27 Dluhopisy'!A1" display="Dluhopisy" xr:uid="{00000000-0004-0000-0000-000017000000}"/>
    <hyperlink ref="B56" location="'28 Souhrnné ocenění'!A1" display="Souhrnné ocenění" xr:uid="{00000000-0004-0000-0000-000018000000}"/>
    <hyperlink ref="B23" location="'5 Vnitřní potenciál'!A1" display="Vnitřní potenciál" xr:uid="{00000000-0004-0000-0000-000019000000}"/>
    <hyperlink ref="B36" location="'15 Rozdělení majektu'!A1" display="Rozdělení majetku" xr:uid="{00000000-0004-0000-0000-00001A000000}"/>
    <hyperlink ref="B51" location="'25 Tržní porovnání'!A1" display="Tržní porovnání" xr:uid="{00000000-0004-0000-0000-00001B000000}"/>
  </hyperlinks>
  <pageMargins left="0.59055118110236227" right="0.59055118110236227" top="0.98425196850393704" bottom="0.78740157480314965" header="0.51181102362204722" footer="0.51181102362204722"/>
  <pageSetup paperSize="9" orientation="portrait" r:id="rId1"/>
  <headerFooter alignWithMargins="0">
    <oddHeader>&amp;LMařík, M. a kol.: Metody oceňování podniku - 1. díl, Ekopress 2024&amp;RPříklad UNIPO, a.s.</oddHeader>
    <oddFooter>&amp;C&amp;A&amp;R &amp;"Arial CE,kurzíva"© M. Mařík, P. Maříková</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5"/>
  <sheetViews>
    <sheetView workbookViewId="0">
      <pane xSplit="2" ySplit="3" topLeftCell="C4" activePane="bottomRight" state="frozen"/>
      <selection pane="topRight" activeCell="C1" sqref="C1"/>
      <selection pane="bottomLeft" activeCell="A4" sqref="A4"/>
      <selection pane="bottomRight"/>
    </sheetView>
  </sheetViews>
  <sheetFormatPr defaultRowHeight="12.75" x14ac:dyDescent="0.2"/>
  <cols>
    <col min="1" max="1" width="5.42578125" bestFit="1" customWidth="1"/>
    <col min="2" max="2" width="50.42578125" customWidth="1"/>
  </cols>
  <sheetData>
    <row r="1" spans="1:6" ht="21" customHeight="1" x14ac:dyDescent="0.2">
      <c r="A1" s="486" t="s">
        <v>444</v>
      </c>
      <c r="E1" s="1497" t="s">
        <v>557</v>
      </c>
      <c r="F1" s="1497"/>
    </row>
    <row r="2" spans="1:6" ht="21" customHeight="1" thickBot="1" x14ac:dyDescent="0.25">
      <c r="A2" s="547" t="s">
        <v>446</v>
      </c>
    </row>
    <row r="3" spans="1:6" ht="13.5" thickBot="1" x14ac:dyDescent="0.25">
      <c r="A3" s="548"/>
      <c r="B3" s="549" t="s">
        <v>155</v>
      </c>
      <c r="C3" s="550">
        <f>výchozí_rok+1</f>
        <v>2013</v>
      </c>
      <c r="D3" s="551">
        <f>výchozí_rok+2</f>
        <v>2014</v>
      </c>
      <c r="E3" s="551">
        <f>výchozí_rok+3</f>
        <v>2015</v>
      </c>
      <c r="F3" s="552">
        <f>výchozí_rok+4</f>
        <v>2016</v>
      </c>
    </row>
    <row r="4" spans="1:6" ht="13.5" thickBot="1" x14ac:dyDescent="0.25">
      <c r="A4" s="573"/>
      <c r="B4" s="574" t="s">
        <v>62</v>
      </c>
      <c r="C4" s="597">
        <f>'7 Rozvaha'!C23</f>
        <v>12331.327000000048</v>
      </c>
      <c r="D4" s="598">
        <f>C33</f>
        <v>22977.267748700047</v>
      </c>
      <c r="E4" s="598">
        <f>D33</f>
        <v>32330.910617464513</v>
      </c>
      <c r="F4" s="599">
        <f>E33</f>
        <v>43057.573880665528</v>
      </c>
    </row>
    <row r="5" spans="1:6" x14ac:dyDescent="0.2">
      <c r="A5" s="188" t="s">
        <v>64</v>
      </c>
      <c r="B5" s="192" t="s">
        <v>739</v>
      </c>
      <c r="C5" s="600"/>
      <c r="D5" s="601"/>
      <c r="E5" s="601"/>
      <c r="F5" s="602"/>
    </row>
    <row r="6" spans="1:6" s="1" customFormat="1" x14ac:dyDescent="0.2">
      <c r="A6" s="201" t="s">
        <v>63</v>
      </c>
      <c r="B6" s="202" t="s">
        <v>743</v>
      </c>
      <c r="C6" s="603">
        <f>'8 Výsledovka'!E29</f>
        <v>28959.940748699995</v>
      </c>
      <c r="D6" s="604">
        <f>'8 Výsledovka'!F29</f>
        <v>12997.642868764469</v>
      </c>
      <c r="E6" s="604">
        <f>'8 Výsledovka'!G29</f>
        <v>41848.663263201022</v>
      </c>
      <c r="F6" s="605">
        <f>'8 Výsledovka'!H29</f>
        <v>51967.970174216694</v>
      </c>
    </row>
    <row r="7" spans="1:6" s="1" customFormat="1" x14ac:dyDescent="0.2">
      <c r="A7" s="189" t="s">
        <v>65</v>
      </c>
      <c r="B7" s="193" t="s">
        <v>66</v>
      </c>
      <c r="C7" s="606">
        <f>SUM(C8:C10)</f>
        <v>26906</v>
      </c>
      <c r="D7" s="607">
        <f>SUM(D8:D10)</f>
        <v>41244</v>
      </c>
      <c r="E7" s="607">
        <f>SUM(E8:E10)</f>
        <v>31158</v>
      </c>
      <c r="F7" s="608">
        <f>SUM(F8:F10)</f>
        <v>46466</v>
      </c>
    </row>
    <row r="8" spans="1:6" x14ac:dyDescent="0.2">
      <c r="A8" s="190" t="s">
        <v>67</v>
      </c>
      <c r="B8" s="194" t="s">
        <v>740</v>
      </c>
      <c r="C8" s="609">
        <f>'8 Výsledovka'!E13</f>
        <v>23096</v>
      </c>
      <c r="D8" s="610">
        <f>'8 Výsledovka'!F13</f>
        <v>35640</v>
      </c>
      <c r="E8" s="610">
        <f>'8 Výsledovka'!G13</f>
        <v>45310</v>
      </c>
      <c r="F8" s="611">
        <f>'8 Výsledovka'!H13</f>
        <v>45372</v>
      </c>
    </row>
    <row r="9" spans="1:6" x14ac:dyDescent="0.2">
      <c r="A9" s="190" t="s">
        <v>140</v>
      </c>
      <c r="B9" s="194" t="s">
        <v>741</v>
      </c>
      <c r="C9" s="609">
        <f>'7 Rozvaha'!D34-'7 Rozvaha'!C34</f>
        <v>3810</v>
      </c>
      <c r="D9" s="610">
        <f>'7 Rozvaha'!E34-'7 Rozvaha'!D34</f>
        <v>5604</v>
      </c>
      <c r="E9" s="610">
        <f>'7 Rozvaha'!F34-'7 Rozvaha'!E34</f>
        <v>-5438</v>
      </c>
      <c r="F9" s="611">
        <f>'7 Rozvaha'!G34-'7 Rozvaha'!F34</f>
        <v>1094</v>
      </c>
    </row>
    <row r="10" spans="1:6" x14ac:dyDescent="0.2">
      <c r="A10" s="199" t="s">
        <v>68</v>
      </c>
      <c r="B10" s="200" t="s">
        <v>742</v>
      </c>
      <c r="C10" s="612">
        <f>-('8 Výsledovka'!E15-'8 Výsledovka'!E18)</f>
        <v>0</v>
      </c>
      <c r="D10" s="613">
        <f>-('8 Výsledovka'!F15-'8 Výsledovka'!F18)</f>
        <v>0</v>
      </c>
      <c r="E10" s="613">
        <f>-('8 Výsledovka'!G15-'8 Výsledovka'!G18)</f>
        <v>-8714</v>
      </c>
      <c r="F10" s="614">
        <f>-('8 Výsledovka'!H15-'8 Výsledovka'!H18)</f>
        <v>0</v>
      </c>
    </row>
    <row r="11" spans="1:6" s="1" customFormat="1" x14ac:dyDescent="0.2">
      <c r="A11" s="189" t="s">
        <v>70</v>
      </c>
      <c r="B11" s="193" t="s">
        <v>71</v>
      </c>
      <c r="C11" s="606">
        <f>SUM(C12:C15)</f>
        <v>23388</v>
      </c>
      <c r="D11" s="607">
        <f>SUM(D12:D15)</f>
        <v>-5970</v>
      </c>
      <c r="E11" s="607">
        <f>SUM(E12:E15)</f>
        <v>-1614</v>
      </c>
      <c r="F11" s="608">
        <f>SUM(F12:F15)</f>
        <v>-15856</v>
      </c>
    </row>
    <row r="12" spans="1:6" x14ac:dyDescent="0.2">
      <c r="A12" s="190" t="s">
        <v>72</v>
      </c>
      <c r="B12" s="194" t="s">
        <v>324</v>
      </c>
      <c r="C12" s="609">
        <f>-('7 Rozvaha'!D20-'7 Rozvaha'!C20+'7 Rozvaha'!D24-'7 Rozvaha'!C24)</f>
        <v>-1982</v>
      </c>
      <c r="D12" s="610">
        <f>-('7 Rozvaha'!E20-'7 Rozvaha'!D20+'7 Rozvaha'!E24-'7 Rozvaha'!D24)</f>
        <v>-1490</v>
      </c>
      <c r="E12" s="610">
        <f>-('7 Rozvaha'!F20-'7 Rozvaha'!E20+'7 Rozvaha'!F24-'7 Rozvaha'!E24)</f>
        <v>-6208</v>
      </c>
      <c r="F12" s="611">
        <f>-('7 Rozvaha'!G20-'7 Rozvaha'!F20+'7 Rozvaha'!G24-'7 Rozvaha'!F24)</f>
        <v>-16942</v>
      </c>
    </row>
    <row r="13" spans="1:6" x14ac:dyDescent="0.2">
      <c r="A13" s="190" t="s">
        <v>74</v>
      </c>
      <c r="B13" s="194" t="s">
        <v>323</v>
      </c>
      <c r="C13" s="609">
        <f>('7 Rozvaha'!D39-'7 Rozvaha'!D40)-('7 Rozvaha'!C39-'7 Rozvaha'!C40)+'7 Rozvaha'!D46-'7 Rozvaha'!C46</f>
        <v>54266</v>
      </c>
      <c r="D13" s="610">
        <f>('7 Rozvaha'!E39-'7 Rozvaha'!E40)-('7 Rozvaha'!D39-'7 Rozvaha'!D40)+'7 Rozvaha'!E46-'7 Rozvaha'!D46</f>
        <v>-3644</v>
      </c>
      <c r="E13" s="610">
        <f>('7 Rozvaha'!F39-'7 Rozvaha'!F40)-('7 Rozvaha'!E39-'7 Rozvaha'!E40)+'7 Rozvaha'!F46-'7 Rozvaha'!E46</f>
        <v>7484</v>
      </c>
      <c r="F13" s="611">
        <f>('7 Rozvaha'!G39-'7 Rozvaha'!G40)-('7 Rozvaha'!F39-'7 Rozvaha'!F40)+'7 Rozvaha'!G46-'7 Rozvaha'!F46</f>
        <v>5986</v>
      </c>
    </row>
    <row r="14" spans="1:6" x14ac:dyDescent="0.2">
      <c r="A14" s="190" t="s">
        <v>75</v>
      </c>
      <c r="B14" s="194" t="s">
        <v>76</v>
      </c>
      <c r="C14" s="609">
        <f>-('7 Rozvaha'!D15-'7 Rozvaha'!C15)</f>
        <v>-28896</v>
      </c>
      <c r="D14" s="610">
        <f>-('7 Rozvaha'!E15-'7 Rozvaha'!D15)</f>
        <v>-836</v>
      </c>
      <c r="E14" s="610">
        <f>-('7 Rozvaha'!F15-'7 Rozvaha'!E15)</f>
        <v>-2890</v>
      </c>
      <c r="F14" s="611">
        <f>-('7 Rozvaha'!G15-'7 Rozvaha'!F15)</f>
        <v>-4900</v>
      </c>
    </row>
    <row r="15" spans="1:6" x14ac:dyDescent="0.2">
      <c r="A15" s="165" t="s">
        <v>77</v>
      </c>
      <c r="B15" s="194" t="s">
        <v>320</v>
      </c>
      <c r="C15" s="609">
        <f>-('7 Rozvaha'!D22-'7 Rozvaha'!C22)</f>
        <v>0</v>
      </c>
      <c r="D15" s="610">
        <f>-('7 Rozvaha'!E22-'7 Rozvaha'!D22)</f>
        <v>0</v>
      </c>
      <c r="E15" s="610">
        <f>-('7 Rozvaha'!F22-'7 Rozvaha'!E22)</f>
        <v>0</v>
      </c>
      <c r="F15" s="611">
        <f>-('7 Rozvaha'!G22-'7 Rozvaha'!F22)</f>
        <v>0</v>
      </c>
    </row>
    <row r="16" spans="1:6" s="1" customFormat="1" ht="13.5" thickBot="1" x14ac:dyDescent="0.25">
      <c r="A16" s="580"/>
      <c r="B16" s="579" t="s">
        <v>78</v>
      </c>
      <c r="C16" s="615">
        <f>C6+C7+C11</f>
        <v>79253.940748699999</v>
      </c>
      <c r="D16" s="616">
        <f>D6+D7+D11</f>
        <v>48271.642868764466</v>
      </c>
      <c r="E16" s="616">
        <f>E6+E7+E11</f>
        <v>71392.663263201015</v>
      </c>
      <c r="F16" s="617">
        <f>F6+F7+F11</f>
        <v>82577.970174216694</v>
      </c>
    </row>
    <row r="17" spans="1:6" x14ac:dyDescent="0.2">
      <c r="A17" s="188" t="s">
        <v>46</v>
      </c>
      <c r="B17" s="192" t="s">
        <v>744</v>
      </c>
      <c r="C17" s="600"/>
      <c r="D17" s="601"/>
      <c r="E17" s="601"/>
      <c r="F17" s="602"/>
    </row>
    <row r="18" spans="1:6" s="1" customFormat="1" x14ac:dyDescent="0.2">
      <c r="A18" s="189" t="s">
        <v>79</v>
      </c>
      <c r="B18" s="193" t="s">
        <v>321</v>
      </c>
      <c r="C18" s="606">
        <f>SUM(C19:C20)</f>
        <v>-89946</v>
      </c>
      <c r="D18" s="607">
        <f>SUM(D19:D20)</f>
        <v>-31326</v>
      </c>
      <c r="E18" s="607">
        <f>SUM(E19:E20)</f>
        <v>-45068</v>
      </c>
      <c r="F18" s="608">
        <f>SUM(F19:F20)</f>
        <v>-78310</v>
      </c>
    </row>
    <row r="19" spans="1:6" x14ac:dyDescent="0.2">
      <c r="A19" s="190" t="s">
        <v>80</v>
      </c>
      <c r="B19" s="194" t="s">
        <v>94</v>
      </c>
      <c r="C19" s="609">
        <f>-('7 Rozvaha'!D6-'7 Rozvaha'!C6+'7 Rozvaha'!D7-'7 Rozvaha'!C7+'8 Výsledovka'!E13+'8 Výsledovka'!E18)</f>
        <v>-89946</v>
      </c>
      <c r="D19" s="610">
        <f>-('7 Rozvaha'!E6-'7 Rozvaha'!D6+'7 Rozvaha'!E7-'7 Rozvaha'!D7+'8 Výsledovka'!F13+'8 Výsledovka'!F18)</f>
        <v>-31326</v>
      </c>
      <c r="E19" s="610">
        <f>-('7 Rozvaha'!F6-'7 Rozvaha'!E6+'7 Rozvaha'!F7-'7 Rozvaha'!E7+'8 Výsledovka'!G13+'8 Výsledovka'!G18)</f>
        <v>-37068</v>
      </c>
      <c r="F19" s="611">
        <f>-('7 Rozvaha'!G6-'7 Rozvaha'!F6+'7 Rozvaha'!G7-'7 Rozvaha'!F7+'8 Výsledovka'!H13+'8 Výsledovka'!H18)</f>
        <v>-79078</v>
      </c>
    </row>
    <row r="20" spans="1:6" x14ac:dyDescent="0.2">
      <c r="A20" s="199" t="s">
        <v>81</v>
      </c>
      <c r="B20" s="200" t="s">
        <v>356</v>
      </c>
      <c r="C20" s="612">
        <f>-('7 Rozvaha'!D11-'7 Rozvaha'!C11)</f>
        <v>0</v>
      </c>
      <c r="D20" s="613">
        <f>-('7 Rozvaha'!E11-'7 Rozvaha'!D11)</f>
        <v>0</v>
      </c>
      <c r="E20" s="613">
        <f>-('7 Rozvaha'!F11-'7 Rozvaha'!E11)</f>
        <v>-8000</v>
      </c>
      <c r="F20" s="614">
        <f>-('7 Rozvaha'!G11-'7 Rozvaha'!F11)</f>
        <v>768</v>
      </c>
    </row>
    <row r="21" spans="1:6" s="1" customFormat="1" x14ac:dyDescent="0.2">
      <c r="A21" s="189" t="s">
        <v>83</v>
      </c>
      <c r="B21" s="193" t="s">
        <v>746</v>
      </c>
      <c r="C21" s="606">
        <f>'8 Výsledovka'!E15</f>
        <v>0</v>
      </c>
      <c r="D21" s="607">
        <f>'8 Výsledovka'!F15</f>
        <v>0</v>
      </c>
      <c r="E21" s="607">
        <f>'8 Výsledovka'!G15</f>
        <v>15370</v>
      </c>
      <c r="F21" s="608">
        <f>'8 Výsledovka'!H15</f>
        <v>0</v>
      </c>
    </row>
    <row r="22" spans="1:6" ht="13.5" thickBot="1" x14ac:dyDescent="0.25">
      <c r="A22" s="578"/>
      <c r="B22" s="579" t="s">
        <v>84</v>
      </c>
      <c r="C22" s="615">
        <f>C18+C21</f>
        <v>-89946</v>
      </c>
      <c r="D22" s="616">
        <f>D18+D21</f>
        <v>-31326</v>
      </c>
      <c r="E22" s="616">
        <f>E18+E21</f>
        <v>-29698</v>
      </c>
      <c r="F22" s="617">
        <f>F18+F21</f>
        <v>-78310</v>
      </c>
    </row>
    <row r="23" spans="1:6" x14ac:dyDescent="0.2">
      <c r="A23" s="188" t="s">
        <v>85</v>
      </c>
      <c r="B23" s="192" t="s">
        <v>745</v>
      </c>
      <c r="C23" s="600"/>
      <c r="D23" s="601"/>
      <c r="E23" s="601"/>
      <c r="F23" s="602"/>
    </row>
    <row r="24" spans="1:6" s="1" customFormat="1" x14ac:dyDescent="0.2">
      <c r="A24" s="189" t="s">
        <v>86</v>
      </c>
      <c r="B24" s="193" t="s">
        <v>747</v>
      </c>
      <c r="C24" s="606">
        <f>SUM(C25:C27)</f>
        <v>31338</v>
      </c>
      <c r="D24" s="607">
        <f>SUM(D25:D27)</f>
        <v>4408</v>
      </c>
      <c r="E24" s="607">
        <f>SUM(E25:E27)</f>
        <v>-15968</v>
      </c>
      <c r="F24" s="608">
        <f>SUM(F25:F27)</f>
        <v>19490</v>
      </c>
    </row>
    <row r="25" spans="1:6" x14ac:dyDescent="0.2">
      <c r="A25" s="190" t="s">
        <v>87</v>
      </c>
      <c r="B25" s="194" t="s">
        <v>748</v>
      </c>
      <c r="C25" s="609">
        <f>'7 Rozvaha'!D38-'7 Rozvaha'!C38</f>
        <v>9000</v>
      </c>
      <c r="D25" s="610">
        <f>'7 Rozvaha'!E38-'7 Rozvaha'!D38</f>
        <v>18366</v>
      </c>
      <c r="E25" s="610">
        <f>'7 Rozvaha'!F38-'7 Rozvaha'!E38</f>
        <v>21862</v>
      </c>
      <c r="F25" s="611">
        <f>'7 Rozvaha'!G38-'7 Rozvaha'!F38</f>
        <v>24960</v>
      </c>
    </row>
    <row r="26" spans="1:6" x14ac:dyDescent="0.2">
      <c r="A26" s="190" t="s">
        <v>141</v>
      </c>
      <c r="B26" s="194" t="s">
        <v>319</v>
      </c>
      <c r="C26" s="609">
        <f>'7 Rozvaha'!D40-'7 Rozvaha'!C40</f>
        <v>-2590</v>
      </c>
      <c r="D26" s="610">
        <f>'7 Rozvaha'!E40-'7 Rozvaha'!D40</f>
        <v>-10384</v>
      </c>
      <c r="E26" s="610">
        <f>'7 Rozvaha'!F40-'7 Rozvaha'!E40</f>
        <v>-22668</v>
      </c>
      <c r="F26" s="611">
        <f>'7 Rozvaha'!G40-'7 Rozvaha'!F40</f>
        <v>2490</v>
      </c>
    </row>
    <row r="27" spans="1:6" x14ac:dyDescent="0.2">
      <c r="A27" s="199" t="s">
        <v>88</v>
      </c>
      <c r="B27" s="200" t="s">
        <v>95</v>
      </c>
      <c r="C27" s="612">
        <f>'7 Rozvaha'!D37-'7 Rozvaha'!C37</f>
        <v>24928</v>
      </c>
      <c r="D27" s="613">
        <f>'7 Rozvaha'!E37-'7 Rozvaha'!D37</f>
        <v>-3574</v>
      </c>
      <c r="E27" s="613">
        <f>'7 Rozvaha'!F37-'7 Rozvaha'!E37</f>
        <v>-15162</v>
      </c>
      <c r="F27" s="614">
        <f>'7 Rozvaha'!G37-'7 Rozvaha'!F37</f>
        <v>-7960</v>
      </c>
    </row>
    <row r="28" spans="1:6" s="1" customFormat="1" x14ac:dyDescent="0.2">
      <c r="A28" s="189" t="s">
        <v>89</v>
      </c>
      <c r="B28" s="193" t="s">
        <v>749</v>
      </c>
      <c r="C28" s="606">
        <f>SUM(C29:C30)</f>
        <v>-10000</v>
      </c>
      <c r="D28" s="607">
        <f>SUM(D29:D30)</f>
        <v>-12000</v>
      </c>
      <c r="E28" s="607">
        <f>SUM(E29:E30)</f>
        <v>-15000</v>
      </c>
      <c r="F28" s="608">
        <f>SUM(F29:F30)</f>
        <v>-16000</v>
      </c>
    </row>
    <row r="29" spans="1:6" x14ac:dyDescent="0.2">
      <c r="A29" s="190" t="s">
        <v>90</v>
      </c>
      <c r="B29" s="194" t="s">
        <v>750</v>
      </c>
      <c r="C29" s="609">
        <f>'7 Rozvaha'!D28-'7 Rozvaha'!C28</f>
        <v>0</v>
      </c>
      <c r="D29" s="610">
        <f>'7 Rozvaha'!E28-'7 Rozvaha'!D28</f>
        <v>0</v>
      </c>
      <c r="E29" s="610">
        <f>'7 Rozvaha'!F28-'7 Rozvaha'!E28</f>
        <v>0</v>
      </c>
      <c r="F29" s="611">
        <f>'7 Rozvaha'!G28-'7 Rozvaha'!F28</f>
        <v>0</v>
      </c>
    </row>
    <row r="30" spans="1:6" x14ac:dyDescent="0.2">
      <c r="A30" s="190" t="s">
        <v>142</v>
      </c>
      <c r="B30" s="194" t="s">
        <v>322</v>
      </c>
      <c r="C30" s="581">
        <v>-10000</v>
      </c>
      <c r="D30" s="582">
        <v>-12000</v>
      </c>
      <c r="E30" s="582">
        <v>-15000</v>
      </c>
      <c r="F30" s="584">
        <v>-16000</v>
      </c>
    </row>
    <row r="31" spans="1:6" ht="13.5" thickBot="1" x14ac:dyDescent="0.25">
      <c r="A31" s="578"/>
      <c r="B31" s="579" t="s">
        <v>91</v>
      </c>
      <c r="C31" s="615">
        <f>C24+C28</f>
        <v>21338</v>
      </c>
      <c r="D31" s="616">
        <f>D24+D28</f>
        <v>-7592</v>
      </c>
      <c r="E31" s="616">
        <f>E24+E28</f>
        <v>-30968</v>
      </c>
      <c r="F31" s="617">
        <f>F24+F28</f>
        <v>3490</v>
      </c>
    </row>
    <row r="32" spans="1:6" ht="13.5" thickBot="1" x14ac:dyDescent="0.25">
      <c r="A32" s="576"/>
      <c r="B32" s="577" t="s">
        <v>92</v>
      </c>
      <c r="C32" s="618">
        <f>C16+C22+C31</f>
        <v>10645.940748699999</v>
      </c>
      <c r="D32" s="619">
        <f>D16+D22+D31</f>
        <v>9353.6428687644657</v>
      </c>
      <c r="E32" s="619">
        <f>E16+E22+E31</f>
        <v>10726.663263201015</v>
      </c>
      <c r="F32" s="620">
        <f>F16+F22+F31</f>
        <v>7757.9701742166944</v>
      </c>
    </row>
    <row r="33" spans="1:6" ht="13.5" thickBot="1" x14ac:dyDescent="0.25">
      <c r="A33" s="573"/>
      <c r="B33" s="575" t="s">
        <v>93</v>
      </c>
      <c r="C33" s="597">
        <f>C4+C32</f>
        <v>22977.267748700047</v>
      </c>
      <c r="D33" s="598">
        <f>D4+D32</f>
        <v>32330.910617464513</v>
      </c>
      <c r="E33" s="598">
        <f>E4+E32</f>
        <v>43057.573880665528</v>
      </c>
      <c r="F33" s="599">
        <f>F4+F32</f>
        <v>50815.544054882223</v>
      </c>
    </row>
    <row r="35" spans="1:6" x14ac:dyDescent="0.2">
      <c r="C35" s="5"/>
      <c r="D35" s="5"/>
      <c r="E35" s="5"/>
      <c r="F35" s="5"/>
    </row>
  </sheetData>
  <mergeCells count="1">
    <mergeCell ref="E1:F1"/>
  </mergeCells>
  <phoneticPr fontId="0" type="noConversion"/>
  <hyperlinks>
    <hyperlink ref="E1" location="Obsah!A1" display="Skok na obsah" xr:uid="{00000000-0004-0000-09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32"/>
  <sheetViews>
    <sheetView workbookViewId="0">
      <pane xSplit="2" ySplit="3" topLeftCell="C4" activePane="bottomRight" state="frozen"/>
      <selection pane="topRight" activeCell="C1" sqref="C1"/>
      <selection pane="bottomLeft" activeCell="A4" sqref="A4"/>
      <selection pane="bottomRight"/>
    </sheetView>
  </sheetViews>
  <sheetFormatPr defaultRowHeight="12.75" x14ac:dyDescent="0.2"/>
  <cols>
    <col min="1" max="1" width="6.85546875" customWidth="1"/>
    <col min="2" max="2" width="37.7109375" customWidth="1"/>
    <col min="3" max="7" width="9.28515625" customWidth="1"/>
    <col min="8" max="8" width="9.140625" style="7"/>
  </cols>
  <sheetData>
    <row r="1" spans="1:14" ht="21" customHeight="1" x14ac:dyDescent="0.2">
      <c r="A1" s="486" t="s">
        <v>449</v>
      </c>
      <c r="G1" s="926" t="s">
        <v>557</v>
      </c>
      <c r="H1"/>
    </row>
    <row r="2" spans="1:14" ht="21" customHeight="1" thickBot="1" x14ac:dyDescent="0.25">
      <c r="A2" s="547" t="s">
        <v>450</v>
      </c>
      <c r="H2"/>
    </row>
    <row r="3" spans="1:14" ht="13.5" thickBot="1" x14ac:dyDescent="0.25">
      <c r="A3" s="548"/>
      <c r="B3" s="549" t="s">
        <v>149</v>
      </c>
      <c r="C3" s="572">
        <f>výchozí_rok</f>
        <v>2012</v>
      </c>
      <c r="D3" s="551">
        <f>výchozí_rok+1</f>
        <v>2013</v>
      </c>
      <c r="E3" s="551">
        <f>výchozí_rok+2</f>
        <v>2014</v>
      </c>
      <c r="F3" s="551">
        <f>výchozí_rok+3</f>
        <v>2015</v>
      </c>
      <c r="G3" s="626">
        <f>výchozí_rok+4</f>
        <v>2016</v>
      </c>
    </row>
    <row r="4" spans="1:14" s="1" customFormat="1" ht="13.5" thickBot="1" x14ac:dyDescent="0.25">
      <c r="A4" s="553"/>
      <c r="B4" s="554" t="s">
        <v>0</v>
      </c>
      <c r="C4" s="628">
        <f>'7 Rozvaha'!C4/'7 Rozvaha'!C$4</f>
        <v>1</v>
      </c>
      <c r="D4" s="629">
        <f>'7 Rozvaha'!D4/'7 Rozvaha'!D$4</f>
        <v>1</v>
      </c>
      <c r="E4" s="629">
        <f>'7 Rozvaha'!E4/'7 Rozvaha'!E$4</f>
        <v>1</v>
      </c>
      <c r="F4" s="629">
        <f>'7 Rozvaha'!F4/'7 Rozvaha'!F$4</f>
        <v>1</v>
      </c>
      <c r="G4" s="630">
        <f>'7 Rozvaha'!G4/'7 Rozvaha'!G$4</f>
        <v>1</v>
      </c>
      <c r="H4" s="8"/>
    </row>
    <row r="5" spans="1:14" s="1" customFormat="1" x14ac:dyDescent="0.2">
      <c r="A5" s="561" t="s">
        <v>2</v>
      </c>
      <c r="B5" s="562" t="s">
        <v>920</v>
      </c>
      <c r="C5" s="631">
        <f>'7 Rozvaha'!C5/'7 Rozvaha'!C$4</f>
        <v>0.6896369885906849</v>
      </c>
      <c r="D5" s="632">
        <f>'7 Rozvaha'!D5/'7 Rozvaha'!D$4</f>
        <v>0.67746233729347061</v>
      </c>
      <c r="E5" s="632">
        <f>'7 Rozvaha'!E5/'7 Rozvaha'!E$4</f>
        <v>0.66326488274412998</v>
      </c>
      <c r="F5" s="632">
        <f>'7 Rozvaha'!F5/'7 Rozvaha'!F$4</f>
        <v>0.64011222228170539</v>
      </c>
      <c r="G5" s="633">
        <f>'7 Rozvaha'!G5/'7 Rozvaha'!G$4</f>
        <v>0.63040584494925667</v>
      </c>
      <c r="H5" s="9"/>
      <c r="I5" s="6"/>
      <c r="J5" s="6"/>
      <c r="K5" s="6"/>
    </row>
    <row r="6" spans="1:14" s="1" customFormat="1" x14ac:dyDescent="0.2">
      <c r="A6" s="197" t="s">
        <v>3</v>
      </c>
      <c r="B6" s="198" t="s">
        <v>4</v>
      </c>
      <c r="C6" s="622">
        <f>'7 Rozvaha'!C6/'7 Rozvaha'!C$4</f>
        <v>1.2009222037277524E-3</v>
      </c>
      <c r="D6" s="40">
        <f>'7 Rozvaha'!D6/'7 Rozvaha'!D$4</f>
        <v>1.5309604312731743E-3</v>
      </c>
      <c r="E6" s="40">
        <f>'7 Rozvaha'!E6/'7 Rozvaha'!E$4</f>
        <v>2.5971849573005407E-3</v>
      </c>
      <c r="F6" s="40">
        <f>'7 Rozvaha'!F6/'7 Rozvaha'!F$4</f>
        <v>2.8043330883866409E-3</v>
      </c>
      <c r="G6" s="41">
        <f>'7 Rozvaha'!G6/'7 Rozvaha'!G$4</f>
        <v>2.9611808455725307E-3</v>
      </c>
      <c r="H6" s="9"/>
      <c r="I6" s="6"/>
      <c r="J6" s="6"/>
      <c r="K6" s="6"/>
    </row>
    <row r="7" spans="1:14" s="1" customFormat="1" x14ac:dyDescent="0.2">
      <c r="A7" s="189" t="s">
        <v>5</v>
      </c>
      <c r="B7" s="193" t="s">
        <v>6</v>
      </c>
      <c r="C7" s="53">
        <f>'7 Rozvaha'!C7/'7 Rozvaha'!C$4</f>
        <v>0.68607499402962813</v>
      </c>
      <c r="D7" s="28">
        <f>'7 Rozvaha'!D7/'7 Rozvaha'!D$4</f>
        <v>0.67396520388896952</v>
      </c>
      <c r="E7" s="28">
        <f>'7 Rozvaha'!E7/'7 Rozvaha'!E$4</f>
        <v>0.65872362397037765</v>
      </c>
      <c r="F7" s="28">
        <f>'7 Rozvaha'!F7/'7 Rozvaha'!F$4</f>
        <v>0.6234298822233626</v>
      </c>
      <c r="G7" s="29">
        <f>'7 Rozvaha'!G7/'7 Rozvaha'!G$4</f>
        <v>0.61580519817372115</v>
      </c>
      <c r="H7" s="9"/>
      <c r="I7" s="6"/>
      <c r="J7" s="6"/>
      <c r="K7" s="6"/>
    </row>
    <row r="8" spans="1:14" x14ac:dyDescent="0.2">
      <c r="A8" s="190" t="s">
        <v>684</v>
      </c>
      <c r="B8" s="194" t="s">
        <v>7</v>
      </c>
      <c r="C8" s="55">
        <f>'7 Rozvaha'!C8/'7 Rozvaha'!C$4</f>
        <v>2.6916966183552278E-2</v>
      </c>
      <c r="D8" s="31">
        <f>'7 Rozvaha'!D8/'7 Rozvaha'!D$4</f>
        <v>2.2414989217552E-2</v>
      </c>
      <c r="E8" s="31">
        <f>'7 Rozvaha'!E8/'7 Rozvaha'!E$4</f>
        <v>2.2163051891793802E-2</v>
      </c>
      <c r="F8" s="31">
        <f>'7 Rozvaha'!F8/'7 Rozvaha'!F$4</f>
        <v>2.1734329656204681E-2</v>
      </c>
      <c r="G8" s="32">
        <f>'7 Rozvaha'!G8/'7 Rozvaha'!G$4</f>
        <v>1.9874394917326912E-2</v>
      </c>
      <c r="H8" s="9"/>
      <c r="I8" s="6"/>
      <c r="J8" s="6"/>
      <c r="K8" s="6"/>
    </row>
    <row r="9" spans="1:14" x14ac:dyDescent="0.2">
      <c r="A9" s="190" t="s">
        <v>685</v>
      </c>
      <c r="B9" s="194" t="s">
        <v>9</v>
      </c>
      <c r="C9" s="55">
        <f>'7 Rozvaha'!C9/'7 Rozvaha'!C$4</f>
        <v>0.58835180297628809</v>
      </c>
      <c r="D9" s="31">
        <f>'7 Rozvaha'!D9/'7 Rozvaha'!D$4</f>
        <v>0.54432742543438628</v>
      </c>
      <c r="E9" s="31">
        <f>'7 Rozvaha'!E9/'7 Rozvaha'!E$4</f>
        <v>0.5134765893195582</v>
      </c>
      <c r="F9" s="31">
        <f>'7 Rozvaha'!F9/'7 Rozvaha'!F$4</f>
        <v>0.49298499678330743</v>
      </c>
      <c r="G9" s="32">
        <f>'7 Rozvaha'!G9/'7 Rozvaha'!G$4</f>
        <v>0.48030243844545206</v>
      </c>
      <c r="H9" s="9"/>
      <c r="I9" s="6"/>
      <c r="J9" s="6"/>
      <c r="K9" s="6"/>
      <c r="L9" s="6"/>
      <c r="M9" s="6"/>
      <c r="N9" s="6"/>
    </row>
    <row r="10" spans="1:14" x14ac:dyDescent="0.2">
      <c r="A10" s="199" t="s">
        <v>8</v>
      </c>
      <c r="B10" s="200" t="s">
        <v>686</v>
      </c>
      <c r="C10" s="54">
        <f>'7 Rozvaha'!C10/'7 Rozvaha'!C$4</f>
        <v>7.0806224869787826E-2</v>
      </c>
      <c r="D10" s="44">
        <f>'7 Rozvaha'!D10/'7 Rozvaha'!D$4</f>
        <v>0.10722278923703131</v>
      </c>
      <c r="E10" s="44">
        <f>'7 Rozvaha'!E10/'7 Rozvaha'!E$4</f>
        <v>0.12308398275902561</v>
      </c>
      <c r="F10" s="44">
        <f>'7 Rozvaha'!F10/'7 Rozvaha'!F$4</f>
        <v>0.10871055578385054</v>
      </c>
      <c r="G10" s="45">
        <f>'7 Rozvaha'!G10/'7 Rozvaha'!G$4</f>
        <v>0.11562836481094216</v>
      </c>
      <c r="H10" s="9"/>
      <c r="I10" s="6"/>
      <c r="J10" s="6"/>
      <c r="K10" s="6"/>
      <c r="L10" s="6"/>
      <c r="M10" s="6"/>
    </row>
    <row r="11" spans="1:14" s="1" customFormat="1" ht="13.5" thickBot="1" x14ac:dyDescent="0.25">
      <c r="A11" s="195" t="s">
        <v>10</v>
      </c>
      <c r="B11" s="196" t="s">
        <v>11</v>
      </c>
      <c r="C11" s="623">
        <f>'7 Rozvaha'!C11/'7 Rozvaha'!C$4</f>
        <v>2.3610723573289456E-3</v>
      </c>
      <c r="D11" s="35">
        <f>'7 Rozvaha'!D11/'7 Rozvaha'!D$4</f>
        <v>1.9661729732278468E-3</v>
      </c>
      <c r="E11" s="35">
        <f>'7 Rozvaha'!E11/'7 Rozvaha'!E$4</f>
        <v>1.944073816451756E-3</v>
      </c>
      <c r="F11" s="35">
        <f>'7 Rozvaha'!F11/'7 Rozvaha'!F$4</f>
        <v>1.3878006969956086E-2</v>
      </c>
      <c r="G11" s="36">
        <f>'7 Rozvaha'!G11/'7 Rozvaha'!G$4</f>
        <v>1.1639465929963006E-2</v>
      </c>
      <c r="H11" s="9"/>
      <c r="I11" s="6"/>
      <c r="J11" s="6"/>
      <c r="K11" s="6"/>
    </row>
    <row r="12" spans="1:14" s="1" customFormat="1" x14ac:dyDescent="0.2">
      <c r="A12" s="561" t="s">
        <v>14</v>
      </c>
      <c r="B12" s="562" t="s">
        <v>15</v>
      </c>
      <c r="C12" s="631">
        <f>'7 Rozvaha'!C14/'7 Rozvaha'!C$4</f>
        <v>0.3063784701469468</v>
      </c>
      <c r="D12" s="632">
        <f>'7 Rozvaha'!D14/'7 Rozvaha'!D$4</f>
        <v>0.31675334849643683</v>
      </c>
      <c r="E12" s="632">
        <f>'7 Rozvaha'!E14/'7 Rozvaha'!E$4</f>
        <v>0.33184899138437984</v>
      </c>
      <c r="F12" s="632">
        <f>'7 Rozvaha'!F14/'7 Rozvaha'!F$4</f>
        <v>0.34636293115861561</v>
      </c>
      <c r="G12" s="633">
        <f>'7 Rozvaha'!G14/'7 Rozvaha'!G$4</f>
        <v>0.3505927884973144</v>
      </c>
      <c r="H12" s="9"/>
      <c r="I12" s="6"/>
      <c r="J12" s="6"/>
      <c r="K12" s="6"/>
    </row>
    <row r="13" spans="1:14" s="1" customFormat="1" x14ac:dyDescent="0.2">
      <c r="A13" s="189" t="s">
        <v>16</v>
      </c>
      <c r="B13" s="193" t="s">
        <v>17</v>
      </c>
      <c r="C13" s="53">
        <f>'7 Rozvaha'!C15/'7 Rozvaha'!C$4</f>
        <v>0.2015362437755836</v>
      </c>
      <c r="D13" s="28">
        <f>'7 Rozvaha'!D15/'7 Rozvaha'!D$4</f>
        <v>0.21242384645292567</v>
      </c>
      <c r="E13" s="28">
        <f>'7 Rozvaha'!E15/'7 Rozvaha'!E$4</f>
        <v>0.21131197327677101</v>
      </c>
      <c r="F13" s="28">
        <f>'7 Rozvaha'!F15/'7 Rozvaha'!F$4</f>
        <v>0.2115490715256364</v>
      </c>
      <c r="G13" s="29">
        <f>'7 Rozvaha'!G15/'7 Rozvaha'!G$4</f>
        <v>0.2001506469132176</v>
      </c>
      <c r="H13" s="9"/>
      <c r="I13" s="6"/>
      <c r="J13" s="6"/>
      <c r="K13" s="6"/>
    </row>
    <row r="14" spans="1:14" x14ac:dyDescent="0.2">
      <c r="A14" s="190" t="s">
        <v>18</v>
      </c>
      <c r="B14" s="194" t="s">
        <v>19</v>
      </c>
      <c r="C14" s="55">
        <f>'7 Rozvaha'!C16/'7 Rozvaha'!C$4</f>
        <v>3.7028434614939034E-3</v>
      </c>
      <c r="D14" s="31">
        <f>'7 Rozvaha'!D16/'7 Rozvaha'!D$4</f>
        <v>2.9261098565463092E-3</v>
      </c>
      <c r="E14" s="31">
        <f>'7 Rozvaha'!E16/'7 Rozvaha'!E$4</f>
        <v>3.1099077220790258E-3</v>
      </c>
      <c r="F14" s="31">
        <f>'7 Rozvaha'!F16/'7 Rozvaha'!F$4</f>
        <v>3.3789669762951092E-3</v>
      </c>
      <c r="G14" s="32">
        <f>'7 Rozvaha'!G16/'7 Rozvaha'!G$4</f>
        <v>2.7230822008730759E-3</v>
      </c>
      <c r="H14" s="9"/>
      <c r="I14" s="6"/>
      <c r="J14" s="6"/>
      <c r="K14" s="6"/>
      <c r="L14" s="6"/>
      <c r="M14" s="6"/>
      <c r="N14" s="6"/>
    </row>
    <row r="15" spans="1:14" x14ac:dyDescent="0.2">
      <c r="A15" s="199" t="s">
        <v>687</v>
      </c>
      <c r="B15" s="200" t="s">
        <v>20</v>
      </c>
      <c r="C15" s="54">
        <f>'7 Rozvaha'!C17/'7 Rozvaha'!C$4</f>
        <v>0.19783340031408969</v>
      </c>
      <c r="D15" s="44">
        <f>'7 Rozvaha'!D17/'7 Rozvaha'!D$4</f>
        <v>0.20949773659637935</v>
      </c>
      <c r="E15" s="44">
        <f>'7 Rozvaha'!E17/'7 Rozvaha'!E$4</f>
        <v>0.20820206555469198</v>
      </c>
      <c r="F15" s="44">
        <f>'7 Rozvaha'!F17/'7 Rozvaha'!F$4</f>
        <v>0.20817010454934129</v>
      </c>
      <c r="G15" s="45">
        <f>'7 Rozvaha'!G17/'7 Rozvaha'!G$4</f>
        <v>0.19742756471234454</v>
      </c>
      <c r="H15" s="9"/>
      <c r="I15" s="6"/>
      <c r="J15" s="6"/>
      <c r="K15" s="6"/>
      <c r="L15" s="6"/>
      <c r="M15" s="6"/>
    </row>
    <row r="16" spans="1:14" s="1" customFormat="1" x14ac:dyDescent="0.2">
      <c r="A16" s="197" t="s">
        <v>689</v>
      </c>
      <c r="B16" s="198" t="s">
        <v>151</v>
      </c>
      <c r="C16" s="52">
        <f>'7 Rozvaha'!C20/'7 Rozvaha'!C$4</f>
        <v>8.1988886254499641E-2</v>
      </c>
      <c r="D16" s="46">
        <f>'7 Rozvaha'!D20/'7 Rozvaha'!D$4</f>
        <v>6.8868526497111018E-2</v>
      </c>
      <c r="E16" s="46">
        <f>'7 Rozvaha'!E20/'7 Rozvaha'!E$4</f>
        <v>7.1201322037393197E-2</v>
      </c>
      <c r="F16" s="46">
        <f>'7 Rozvaha'!F20/'7 Rozvaha'!F$4</f>
        <v>7.0380679729455969E-2</v>
      </c>
      <c r="G16" s="47">
        <f>'7 Rozvaha'!G20/'7 Rozvaha'!G$4</f>
        <v>8.0907014175287173E-2</v>
      </c>
      <c r="H16" s="9"/>
      <c r="I16" s="6"/>
      <c r="J16" s="6"/>
      <c r="K16" s="6"/>
    </row>
    <row r="17" spans="1:11" s="1" customFormat="1" ht="13.5" thickBot="1" x14ac:dyDescent="0.25">
      <c r="A17" s="195" t="s">
        <v>24</v>
      </c>
      <c r="B17" s="621" t="s">
        <v>691</v>
      </c>
      <c r="C17" s="624">
        <f>'7 Rozvaha'!C23/'7 Rozvaha'!C$4</f>
        <v>2.2853340116863571E-2</v>
      </c>
      <c r="D17" s="50">
        <f>'7 Rozvaha'!D23/'7 Rozvaha'!D$4</f>
        <v>3.5460975546400139E-2</v>
      </c>
      <c r="E17" s="50">
        <f>'7 Rozvaha'!E23/'7 Rozvaha'!E$4</f>
        <v>4.9335696070215637E-2</v>
      </c>
      <c r="F17" s="50">
        <f>'7 Rozvaha'!F23/'7 Rozvaha'!F$4</f>
        <v>6.4433179903523236E-2</v>
      </c>
      <c r="G17" s="51">
        <f>'7 Rozvaha'!G23/'7 Rozvaha'!G$4</f>
        <v>6.9535127408809641E-2</v>
      </c>
      <c r="H17" s="9"/>
      <c r="I17" s="6"/>
      <c r="J17" s="6"/>
      <c r="K17" s="6"/>
    </row>
    <row r="18" spans="1:11" s="1" customFormat="1" ht="13.5" thickBot="1" x14ac:dyDescent="0.25">
      <c r="A18" s="566" t="s">
        <v>26</v>
      </c>
      <c r="B18" s="567" t="s">
        <v>692</v>
      </c>
      <c r="C18" s="634">
        <f>'7 Rozvaha'!C24/'7 Rozvaha'!C$4</f>
        <v>3.9845412623683149E-3</v>
      </c>
      <c r="D18" s="635">
        <f>'7 Rozvaha'!D24/'7 Rozvaha'!D$4</f>
        <v>5.7843142100925983E-3</v>
      </c>
      <c r="E18" s="635">
        <f>'7 Rozvaha'!E24/'7 Rozvaha'!E$4</f>
        <v>4.8861258714902062E-3</v>
      </c>
      <c r="F18" s="635">
        <f>'7 Rozvaha'!F24/'7 Rozvaha'!F$4</f>
        <v>1.3524846559679006E-2</v>
      </c>
      <c r="G18" s="636">
        <f>'7 Rozvaha'!G24/'7 Rozvaha'!G$4</f>
        <v>1.9001366553428909E-2</v>
      </c>
      <c r="H18" s="9"/>
      <c r="I18" s="6"/>
      <c r="J18" s="6"/>
      <c r="K18" s="6"/>
    </row>
    <row r="19" spans="1:11" ht="13.5" thickBot="1" x14ac:dyDescent="0.25">
      <c r="A19" s="190"/>
      <c r="B19" s="625"/>
      <c r="C19" s="24"/>
      <c r="D19" s="24"/>
      <c r="E19" s="24"/>
      <c r="F19" s="24"/>
      <c r="G19" s="24"/>
      <c r="H19" s="9"/>
      <c r="I19" s="6"/>
      <c r="J19" s="6"/>
      <c r="K19" s="6"/>
    </row>
    <row r="20" spans="1:11" ht="13.5" thickBot="1" x14ac:dyDescent="0.25">
      <c r="A20" s="627"/>
      <c r="B20" s="549" t="s">
        <v>150</v>
      </c>
      <c r="C20" s="572">
        <f>výchozí_rok</f>
        <v>2012</v>
      </c>
      <c r="D20" s="551">
        <f>výchozí_rok+1</f>
        <v>2013</v>
      </c>
      <c r="E20" s="551">
        <f>výchozí_rok+2</f>
        <v>2014</v>
      </c>
      <c r="F20" s="551">
        <f>výchozí_rok+3</f>
        <v>2015</v>
      </c>
      <c r="G20" s="626">
        <f>výchozí_rok+4</f>
        <v>2016</v>
      </c>
      <c r="H20" s="9"/>
      <c r="I20" s="6"/>
      <c r="J20" s="6"/>
      <c r="K20" s="6"/>
    </row>
    <row r="21" spans="1:11" s="1" customFormat="1" ht="13.5" thickBot="1" x14ac:dyDescent="0.25">
      <c r="A21" s="558"/>
      <c r="B21" s="554" t="s">
        <v>27</v>
      </c>
      <c r="C21" s="628">
        <f>'7 Rozvaha'!C26/'7 Rozvaha'!C$4</f>
        <v>1</v>
      </c>
      <c r="D21" s="629">
        <f>'7 Rozvaha'!D26/'7 Rozvaha'!D$4</f>
        <v>1</v>
      </c>
      <c r="E21" s="629">
        <f>'7 Rozvaha'!E26/'7 Rozvaha'!E$4</f>
        <v>1</v>
      </c>
      <c r="F21" s="629">
        <f>'7 Rozvaha'!F26/'7 Rozvaha'!F$4</f>
        <v>1</v>
      </c>
      <c r="G21" s="630">
        <f>'7 Rozvaha'!G26/'7 Rozvaha'!G$4</f>
        <v>1</v>
      </c>
      <c r="H21" s="9"/>
      <c r="I21" s="6"/>
      <c r="J21" s="6"/>
      <c r="K21" s="6"/>
    </row>
    <row r="22" spans="1:11" s="1" customFormat="1" ht="13.5" thickBot="1" x14ac:dyDescent="0.25">
      <c r="A22" s="566" t="s">
        <v>1</v>
      </c>
      <c r="B22" s="567" t="s">
        <v>28</v>
      </c>
      <c r="C22" s="637">
        <f>'7 Rozvaha'!C27/'7 Rozvaha'!C$4</f>
        <v>0.48209117999237211</v>
      </c>
      <c r="D22" s="638">
        <f>'7 Rozvaha'!D27/'7 Rozvaha'!D$4</f>
        <v>0.43072038882687919</v>
      </c>
      <c r="E22" s="638">
        <f>'7 Rozvaha'!E27/'7 Rozvaha'!E$4</f>
        <v>0.42740159282753215</v>
      </c>
      <c r="F22" s="638">
        <f>'7 Rozvaha'!F27/'7 Rozvaha'!F$4</f>
        <v>0.45931141186579111</v>
      </c>
      <c r="G22" s="639">
        <f>'7 Rozvaha'!G27/'7 Rozvaha'!G$4</f>
        <v>0.46922338564429455</v>
      </c>
      <c r="H22" s="10"/>
      <c r="I22" s="6"/>
      <c r="J22" s="6"/>
      <c r="K22" s="6"/>
    </row>
    <row r="23" spans="1:11" s="1" customFormat="1" x14ac:dyDescent="0.2">
      <c r="A23" s="561" t="s">
        <v>694</v>
      </c>
      <c r="B23" s="562" t="s">
        <v>37</v>
      </c>
      <c r="C23" s="631">
        <f>'7 Rozvaha'!C33/'7 Rozvaha'!C$4</f>
        <v>0.46222902573479352</v>
      </c>
      <c r="D23" s="632">
        <f>'7 Rozvaha'!D33/'7 Rozvaha'!D$4</f>
        <v>0.51531016935696872</v>
      </c>
      <c r="E23" s="632">
        <f>'7 Rozvaha'!E33/'7 Rozvaha'!E$4</f>
        <v>0.5427200984392454</v>
      </c>
      <c r="F23" s="632">
        <f>'7 Rozvaha'!F33/'7 Rozvaha'!F$4</f>
        <v>0.52037587877361113</v>
      </c>
      <c r="G23" s="633">
        <f>'7 Rozvaha'!G33/'7 Rozvaha'!G$4</f>
        <v>0.51447096234283929</v>
      </c>
      <c r="H23" s="9"/>
      <c r="I23" s="6"/>
      <c r="J23" s="6"/>
      <c r="K23" s="6"/>
    </row>
    <row r="24" spans="1:11" s="1" customFormat="1" x14ac:dyDescent="0.2">
      <c r="A24" s="197" t="s">
        <v>2</v>
      </c>
      <c r="B24" s="198" t="s">
        <v>38</v>
      </c>
      <c r="C24" s="52">
        <f>'7 Rozvaha'!C34/'7 Rozvaha'!C$4</f>
        <v>0</v>
      </c>
      <c r="D24" s="46">
        <f>'7 Rozvaha'!D34/'7 Rozvaha'!D$4</f>
        <v>5.8799992370471713E-3</v>
      </c>
      <c r="E24" s="46">
        <f>'7 Rozvaha'!E34/'7 Rozvaha'!E$4</f>
        <v>1.4365393177454342E-2</v>
      </c>
      <c r="F24" s="46">
        <f>'7 Rozvaha'!F34/'7 Rozvaha'!F$4</f>
        <v>5.9498550477189343E-3</v>
      </c>
      <c r="G24" s="47">
        <f>'7 Rozvaha'!G34/'7 Rozvaha'!G$4</f>
        <v>6.9377018886565296E-3</v>
      </c>
      <c r="H24" s="9"/>
      <c r="I24" s="6"/>
      <c r="J24" s="6"/>
      <c r="K24" s="6"/>
    </row>
    <row r="25" spans="1:11" s="1" customFormat="1" x14ac:dyDescent="0.2">
      <c r="A25" s="197" t="s">
        <v>16</v>
      </c>
      <c r="B25" s="198" t="s">
        <v>706</v>
      </c>
      <c r="C25" s="52">
        <f>'7 Rozvaha'!C36/'7 Rozvaha'!C$4</f>
        <v>0.1134797351522496</v>
      </c>
      <c r="D25" s="46">
        <f>'7 Rozvaha'!D36/'7 Rozvaha'!D$4</f>
        <v>0.14686108330640651</v>
      </c>
      <c r="E25" s="46">
        <f>'7 Rozvaha'!E36/'7 Rozvaha'!E$4</f>
        <v>0.1677824209313214</v>
      </c>
      <c r="F25" s="46">
        <f>'7 Rozvaha'!F36/'7 Rozvaha'!F$4</f>
        <v>0.17456300076119446</v>
      </c>
      <c r="G25" s="47">
        <f>'7 Rozvaha'!G36/'7 Rozvaha'!G$4</f>
        <v>0.18288712678949162</v>
      </c>
      <c r="H25" s="9"/>
      <c r="I25" s="6"/>
      <c r="J25" s="6"/>
      <c r="K25" s="6"/>
    </row>
    <row r="26" spans="1:11" s="1" customFormat="1" x14ac:dyDescent="0.2">
      <c r="A26" s="189" t="s">
        <v>21</v>
      </c>
      <c r="B26" s="193" t="s">
        <v>40</v>
      </c>
      <c r="C26" s="53">
        <f>'7 Rozvaha'!C39/'7 Rozvaha'!C$4</f>
        <v>0.34874929058254395</v>
      </c>
      <c r="D26" s="28">
        <f>'7 Rozvaha'!D39/'7 Rozvaha'!D$4</f>
        <v>0.36256908681351496</v>
      </c>
      <c r="E26" s="28">
        <f>'7 Rozvaha'!E39/'7 Rozvaha'!E$4</f>
        <v>0.36057228433046967</v>
      </c>
      <c r="F26" s="28">
        <f>'7 Rozvaha'!F39/'7 Rozvaha'!F$4</f>
        <v>0.33986302296469773</v>
      </c>
      <c r="G26" s="29">
        <f>'7 Rozvaha'!G39/'7 Rozvaha'!G$4</f>
        <v>0.32464613366469119</v>
      </c>
      <c r="H26" s="9"/>
      <c r="I26" s="6"/>
      <c r="J26" s="6"/>
      <c r="K26" s="6"/>
    </row>
    <row r="27" spans="1:11" s="1" customFormat="1" x14ac:dyDescent="0.2">
      <c r="A27" s="190" t="s">
        <v>689</v>
      </c>
      <c r="B27" s="194" t="s">
        <v>707</v>
      </c>
      <c r="C27" s="1114">
        <f>'7 Rozvaha'!C40/'7 Rozvaha'!C$4</f>
        <v>0.12907319105065285</v>
      </c>
      <c r="D27" s="58">
        <f>'7 Rozvaha'!D40/'7 Rozvaha'!D$4</f>
        <v>0.10348798657203022</v>
      </c>
      <c r="E27" s="58">
        <f>'7 Rozvaha'!E40/'7 Rozvaha'!E$4</f>
        <v>8.6479239659304485E-2</v>
      </c>
      <c r="F27" s="58">
        <f>'7 Rozvaha'!F40/'7 Rozvaha'!F$4</f>
        <v>5.0885027928228029E-2</v>
      </c>
      <c r="G27" s="59">
        <f>'7 Rozvaha'!G40/'7 Rozvaha'!G$4</f>
        <v>4.9937769768171873E-2</v>
      </c>
      <c r="H27" s="9"/>
      <c r="I27" s="6"/>
      <c r="J27" s="6"/>
      <c r="K27" s="6"/>
    </row>
    <row r="28" spans="1:11" x14ac:dyDescent="0.2">
      <c r="A28" s="190" t="s">
        <v>699</v>
      </c>
      <c r="B28" s="194" t="s">
        <v>313</v>
      </c>
      <c r="C28" s="30">
        <f>'7 Rozvaha'!C41/'7 Rozvaha'!C$4</f>
        <v>0.15344005082628942</v>
      </c>
      <c r="D28" s="31">
        <f>'7 Rozvaha'!D41/'7 Rozvaha'!D$4</f>
        <v>0.17869641775832493</v>
      </c>
      <c r="E28" s="31">
        <f>'7 Rozvaha'!E41/'7 Rozvaha'!E$4</f>
        <v>0.18300540397129214</v>
      </c>
      <c r="F28" s="31">
        <f>'7 Rozvaha'!F41/'7 Rozvaha'!F$4</f>
        <v>0.20750568411644713</v>
      </c>
      <c r="G28" s="32">
        <f>'7 Rozvaha'!G41/'7 Rozvaha'!G$4</f>
        <v>0.19919825233441979</v>
      </c>
      <c r="H28" s="9"/>
      <c r="I28" s="6"/>
      <c r="J28" s="6"/>
      <c r="K28" s="6"/>
    </row>
    <row r="29" spans="1:11" ht="13.5" thickBot="1" x14ac:dyDescent="0.25">
      <c r="A29" s="190" t="s">
        <v>700</v>
      </c>
      <c r="B29" s="194" t="s">
        <v>701</v>
      </c>
      <c r="C29" s="55">
        <f>'7 Rozvaha'!C42/'7 Rozvaha'!C$4</f>
        <v>6.6236048705601652E-2</v>
      </c>
      <c r="D29" s="31">
        <f>'7 Rozvaha'!D42/'7 Rozvaha'!D$4</f>
        <v>8.0384682483159844E-2</v>
      </c>
      <c r="E29" s="31">
        <f>'7 Rozvaha'!E42/'7 Rozvaha'!E$4</f>
        <v>9.1087640699873018E-2</v>
      </c>
      <c r="F29" s="31">
        <f>'7 Rozvaha'!F42/'7 Rozvaha'!F$4</f>
        <v>8.147231092002255E-2</v>
      </c>
      <c r="G29" s="32">
        <f>'7 Rozvaha'!G42/'7 Rozvaha'!G$4</f>
        <v>7.5510111562099524E-2</v>
      </c>
      <c r="H29" s="9"/>
      <c r="I29" s="6"/>
      <c r="J29" s="6"/>
      <c r="K29" s="6"/>
    </row>
    <row r="30" spans="1:11" s="1" customFormat="1" ht="13.5" thickBot="1" x14ac:dyDescent="0.25">
      <c r="A30" s="566" t="s">
        <v>26</v>
      </c>
      <c r="B30" s="567" t="s">
        <v>705</v>
      </c>
      <c r="C30" s="1115">
        <f>'7 Rozvaha'!C46/'7 Rozvaha'!C$4</f>
        <v>5.5679794272834253E-2</v>
      </c>
      <c r="D30" s="1116">
        <f>'7 Rozvaha'!D46/'7 Rozvaha'!D$4</f>
        <v>5.3969441816152125E-2</v>
      </c>
      <c r="E30" s="1116">
        <f>'7 Rozvaha'!E46/'7 Rozvaha'!E$4</f>
        <v>2.9878308733222437E-2</v>
      </c>
      <c r="F30" s="1116">
        <f>'7 Rozvaha'!F46/'7 Rozvaha'!F$4</f>
        <v>2.0312709360597793E-2</v>
      </c>
      <c r="G30" s="1117">
        <f>'7 Rozvaha'!G46/'7 Rozvaha'!G$4</f>
        <v>1.6305652012866115E-2</v>
      </c>
      <c r="H30" s="9"/>
      <c r="I30" s="6"/>
      <c r="J30" s="6"/>
      <c r="K30" s="6"/>
    </row>
    <row r="32" spans="1:11" x14ac:dyDescent="0.2">
      <c r="B32" s="4"/>
      <c r="C32" s="5"/>
      <c r="D32" s="5"/>
      <c r="E32" s="5"/>
      <c r="F32" s="5"/>
      <c r="G32" s="5"/>
    </row>
  </sheetData>
  <phoneticPr fontId="0" type="noConversion"/>
  <hyperlinks>
    <hyperlink ref="G1" location="Obsah!A1" display="Skok na obsah" xr:uid="{00000000-0004-0000-0A00-000000000000}"/>
  </hyperlinks>
  <pageMargins left="0.78740157480314965" right="0.78740157480314965" top="0.98425196850393704" bottom="0.98425196850393704" header="0.51181102362204722" footer="0.51181102362204722"/>
  <pageSetup paperSize="9" scale="95" orientation="portrait" r:id="rId1"/>
  <headerFooter alignWithMargins="0">
    <oddHeader>&amp;LMařík, M. a kol.: Metody oceňování podniku - 1. díl, Ekopress 2024&amp;RPříklad UNIPO, a.s.</oddHeader>
    <oddFooter>&amp;C&amp;A&amp;R&amp;"Arial CE,kurzíva"© M. Mařík, P. Maříková</oddFooter>
  </headerFooter>
  <ignoredErrors>
    <ignoredError sqref="C6:G16 C18:C19 C30:G30 C21:C26 D18:G26"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32"/>
  <sheetViews>
    <sheetView workbookViewId="0">
      <pane xSplit="2" ySplit="3" topLeftCell="C4" activePane="bottomRight" state="frozen"/>
      <selection pane="topRight" activeCell="C1" sqref="C1"/>
      <selection pane="bottomLeft" activeCell="A4" sqref="A4"/>
      <selection pane="bottomRight"/>
    </sheetView>
  </sheetViews>
  <sheetFormatPr defaultRowHeight="12.75" x14ac:dyDescent="0.2"/>
  <cols>
    <col min="1" max="1" width="6.85546875" customWidth="1"/>
    <col min="2" max="2" width="37.7109375" customWidth="1"/>
    <col min="3" max="6" width="10" customWidth="1"/>
    <col min="7" max="7" width="9.140625" style="7"/>
  </cols>
  <sheetData>
    <row r="1" spans="1:13" ht="21" customHeight="1" x14ac:dyDescent="0.2">
      <c r="A1" s="486" t="s">
        <v>449</v>
      </c>
      <c r="F1" s="926" t="s">
        <v>557</v>
      </c>
      <c r="G1"/>
    </row>
    <row r="2" spans="1:13" ht="21" customHeight="1" thickBot="1" x14ac:dyDescent="0.25">
      <c r="A2" s="547" t="s">
        <v>451</v>
      </c>
      <c r="G2"/>
    </row>
    <row r="3" spans="1:13" ht="13.5" thickBot="1" x14ac:dyDescent="0.25">
      <c r="A3" s="548"/>
      <c r="B3" s="549" t="s">
        <v>152</v>
      </c>
      <c r="C3" s="572">
        <f>výchozí_rok+1</f>
        <v>2013</v>
      </c>
      <c r="D3" s="551">
        <f>výchozí_rok+2</f>
        <v>2014</v>
      </c>
      <c r="E3" s="551">
        <f>výchozí_rok+3</f>
        <v>2015</v>
      </c>
      <c r="F3" s="626">
        <f>výchozí_rok+4</f>
        <v>2016</v>
      </c>
    </row>
    <row r="4" spans="1:13" s="1" customFormat="1" ht="13.5" thickBot="1" x14ac:dyDescent="0.25">
      <c r="A4" s="553"/>
      <c r="B4" s="554" t="s">
        <v>0</v>
      </c>
      <c r="C4" s="628">
        <f>'7 Rozvaha'!D4/'7 Rozvaha'!C4-1</f>
        <v>0.20084671566449019</v>
      </c>
      <c r="D4" s="629">
        <f>'7 Rozvaha'!E4/'7 Rozvaha'!D4-1</f>
        <v>1.1367447361862792E-2</v>
      </c>
      <c r="E4" s="629">
        <f>'7 Rozvaha'!F4/'7 Rozvaha'!E4-1</f>
        <v>1.9725578951395484E-2</v>
      </c>
      <c r="F4" s="630">
        <f>'7 Rozvaha'!G4/'7 Rozvaha'!F4-1</f>
        <v>9.3584471206025865E-2</v>
      </c>
      <c r="G4" s="8"/>
    </row>
    <row r="5" spans="1:13" s="1" customFormat="1" x14ac:dyDescent="0.2">
      <c r="A5" s="561" t="s">
        <v>2</v>
      </c>
      <c r="B5" s="562" t="s">
        <v>920</v>
      </c>
      <c r="C5" s="631">
        <f>'7 Rozvaha'!D5/'7 Rozvaha'!C5-1</f>
        <v>0.17964731617390184</v>
      </c>
      <c r="D5" s="632">
        <f>'7 Rozvaha'!E5/'7 Rozvaha'!D5-1</f>
        <v>-9.8275956333946368E-3</v>
      </c>
      <c r="E5" s="632">
        <f>'7 Rozvaha'!F5/'7 Rozvaha'!E5-1</f>
        <v>-1.5870094373915844E-2</v>
      </c>
      <c r="F5" s="633">
        <f>'7 Rozvaha'!G5/'7 Rozvaha'!F5-1</f>
        <v>7.7001842171705359E-2</v>
      </c>
      <c r="G5" s="9"/>
      <c r="H5" s="6"/>
      <c r="I5" s="6"/>
      <c r="J5" s="6"/>
    </row>
    <row r="6" spans="1:13" s="1" customFormat="1" x14ac:dyDescent="0.2">
      <c r="A6" s="197" t="s">
        <v>3</v>
      </c>
      <c r="B6" s="198" t="s">
        <v>4</v>
      </c>
      <c r="C6" s="622">
        <f>'7 Rozvaha'!D6/'7 Rozvaha'!C6-1</f>
        <v>0.53086419753086411</v>
      </c>
      <c r="D6" s="40">
        <f>'7 Rozvaha'!E6/'7 Rozvaha'!D6-1</f>
        <v>0.71572580645161299</v>
      </c>
      <c r="E6" s="40">
        <f>'7 Rozvaha'!F6/'7 Rozvaha'!E6-1</f>
        <v>0.10105757931844894</v>
      </c>
      <c r="F6" s="41">
        <f>'7 Rozvaha'!G6/'7 Rozvaha'!F6-1</f>
        <v>0.15474919957310562</v>
      </c>
      <c r="G6" s="9"/>
      <c r="H6" s="6"/>
      <c r="I6" s="6"/>
      <c r="J6" s="6"/>
    </row>
    <row r="7" spans="1:13" s="1" customFormat="1" x14ac:dyDescent="0.2">
      <c r="A7" s="189" t="s">
        <v>5</v>
      </c>
      <c r="B7" s="193" t="s">
        <v>6</v>
      </c>
      <c r="C7" s="53">
        <f>'7 Rozvaha'!D7/'7 Rozvaha'!C7-1</f>
        <v>0.17965077958702946</v>
      </c>
      <c r="D7" s="28">
        <f>'7 Rozvaha'!E7/'7 Rozvaha'!D7-1</f>
        <v>-1.1504412620047533E-2</v>
      </c>
      <c r="E7" s="28">
        <f>'7 Rozvaha'!F7/'7 Rozvaha'!E7-1</f>
        <v>-3.4910280347851819E-2</v>
      </c>
      <c r="F7" s="29">
        <f>'7 Rozvaha'!G7/'7 Rozvaha'!F7-1</f>
        <v>8.0209693524848191E-2</v>
      </c>
      <c r="G7" s="9"/>
      <c r="H7" s="6"/>
      <c r="I7" s="6"/>
      <c r="J7" s="6"/>
    </row>
    <row r="8" spans="1:13" x14ac:dyDescent="0.2">
      <c r="A8" s="190" t="s">
        <v>684</v>
      </c>
      <c r="B8" s="194" t="s">
        <v>7</v>
      </c>
      <c r="C8" s="55">
        <f>'7 Rozvaha'!D8/'7 Rozvaha'!C8-1</f>
        <v>0</v>
      </c>
      <c r="D8" s="31">
        <f>'7 Rozvaha'!E8/'7 Rozvaha'!D8-1</f>
        <v>0</v>
      </c>
      <c r="E8" s="31">
        <f>'7 Rozvaha'!F8/'7 Rozvaha'!E8-1</f>
        <v>0</v>
      </c>
      <c r="F8" s="32">
        <f>'7 Rozvaha'!G8/'7 Rozvaha'!F8-1</f>
        <v>0</v>
      </c>
      <c r="G8" s="9"/>
      <c r="H8" s="6"/>
      <c r="I8" s="6"/>
      <c r="J8" s="6"/>
    </row>
    <row r="9" spans="1:13" x14ac:dyDescent="0.2">
      <c r="A9" s="190" t="s">
        <v>685</v>
      </c>
      <c r="B9" s="194" t="s">
        <v>9</v>
      </c>
      <c r="C9" s="55">
        <f>'7 Rozvaha'!D9/'7 Rozvaha'!C9-1</f>
        <v>0.11099141325370265</v>
      </c>
      <c r="D9" s="31">
        <f>'7 Rozvaha'!E9/'7 Rozvaha'!D9-1</f>
        <v>-4.595380803057536E-2</v>
      </c>
      <c r="E9" s="31">
        <f>'7 Rozvaha'!F9/'7 Rozvaha'!E9-1</f>
        <v>-2.0969170326959774E-2</v>
      </c>
      <c r="F9" s="32">
        <f>'7 Rozvaha'!G9/'7 Rozvaha'!F9-1</f>
        <v>6.5450858735179196E-2</v>
      </c>
      <c r="G9" s="9"/>
      <c r="H9" s="6"/>
      <c r="I9" s="6"/>
      <c r="J9" s="6"/>
      <c r="K9" s="6"/>
      <c r="L9" s="6"/>
      <c r="M9" s="6"/>
    </row>
    <row r="10" spans="1:13" x14ac:dyDescent="0.2">
      <c r="A10" s="199" t="s">
        <v>8</v>
      </c>
      <c r="B10" s="200" t="s">
        <v>686</v>
      </c>
      <c r="C10" s="54">
        <f>'7 Rozvaha'!D10/'7 Rozvaha'!C10-1</f>
        <v>0.81845783384808679</v>
      </c>
      <c r="D10" s="44">
        <f>'7 Rozvaha'!E10/'7 Rozvaha'!D10-1</f>
        <v>0.16097645230007496</v>
      </c>
      <c r="E10" s="44">
        <f>'7 Rozvaha'!F10/'7 Rozvaha'!E10-1</f>
        <v>-9.9355318621373701E-2</v>
      </c>
      <c r="F10" s="45">
        <f>'7 Rozvaha'!G10/'7 Rozvaha'!F10-1</f>
        <v>0.1631748478925199</v>
      </c>
      <c r="G10" s="9"/>
      <c r="H10" s="6"/>
      <c r="I10" s="6"/>
      <c r="J10" s="6"/>
      <c r="K10" s="6"/>
      <c r="L10" s="6"/>
    </row>
    <row r="11" spans="1:13" s="1" customFormat="1" ht="13.5" thickBot="1" x14ac:dyDescent="0.25">
      <c r="A11" s="195" t="s">
        <v>10</v>
      </c>
      <c r="B11" s="196" t="s">
        <v>11</v>
      </c>
      <c r="C11" s="623">
        <f>'7 Rozvaha'!D11/'7 Rozvaha'!C11-1</f>
        <v>0</v>
      </c>
      <c r="D11" s="35">
        <f>'7 Rozvaha'!E11/'7 Rozvaha'!D11-1</f>
        <v>0</v>
      </c>
      <c r="E11" s="35">
        <f>'7 Rozvaha'!F11/'7 Rozvaha'!E11-1</f>
        <v>6.2794348508634226</v>
      </c>
      <c r="F11" s="36">
        <f>'7 Rozvaha'!G11/'7 Rozvaha'!F11-1</f>
        <v>-8.2812163036446007E-2</v>
      </c>
      <c r="G11" s="9"/>
      <c r="H11" s="6"/>
      <c r="I11" s="6"/>
      <c r="J11" s="6"/>
    </row>
    <row r="12" spans="1:13" s="1" customFormat="1" x14ac:dyDescent="0.2">
      <c r="A12" s="561" t="s">
        <v>14</v>
      </c>
      <c r="B12" s="562" t="s">
        <v>15</v>
      </c>
      <c r="C12" s="631">
        <f>'7 Rozvaha'!D14/'7 Rozvaha'!C14-1</f>
        <v>0.24151092612754343</v>
      </c>
      <c r="D12" s="632">
        <f>'7 Rozvaha'!E14/'7 Rozvaha'!D14-1</f>
        <v>5.9566596278000983E-2</v>
      </c>
      <c r="E12" s="632">
        <f>'7 Rozvaha'!F14/'7 Rozvaha'!E14-1</f>
        <v>6.4324887743644199E-2</v>
      </c>
      <c r="F12" s="633">
        <f>'7 Rozvaha'!G14/'7 Rozvaha'!F14-1</f>
        <v>0.10693955595930627</v>
      </c>
      <c r="G12" s="9"/>
      <c r="H12" s="6"/>
      <c r="I12" s="6"/>
      <c r="J12" s="6"/>
    </row>
    <row r="13" spans="1:13" s="1" customFormat="1" x14ac:dyDescent="0.2">
      <c r="A13" s="189" t="s">
        <v>16</v>
      </c>
      <c r="B13" s="193" t="s">
        <v>17</v>
      </c>
      <c r="C13" s="53">
        <f>'7 Rozvaha'!D15/'7 Rozvaha'!C15-1</f>
        <v>0.26572011844113796</v>
      </c>
      <c r="D13" s="28">
        <f>'7 Rozvaha'!E15/'7 Rozvaha'!D15-1</f>
        <v>6.0737274959679066E-3</v>
      </c>
      <c r="E13" s="28">
        <f>'7 Rozvaha'!F15/'7 Rozvaha'!E15-1</f>
        <v>2.0869741041898315E-2</v>
      </c>
      <c r="F13" s="29">
        <f>'7 Rozvaha'!G15/'7 Rozvaha'!F15-1</f>
        <v>3.4661309490125136E-2</v>
      </c>
      <c r="G13" s="9"/>
      <c r="H13" s="6"/>
      <c r="I13" s="6"/>
      <c r="J13" s="6"/>
    </row>
    <row r="14" spans="1:13" x14ac:dyDescent="0.2">
      <c r="A14" s="190" t="s">
        <v>18</v>
      </c>
      <c r="B14" s="194" t="s">
        <v>19</v>
      </c>
      <c r="C14" s="55">
        <f>'7 Rozvaha'!D16/'7 Rozvaha'!C16-1</f>
        <v>-5.1051051051051011E-2</v>
      </c>
      <c r="D14" s="31">
        <f>'7 Rozvaha'!E16/'7 Rozvaha'!D16-1</f>
        <v>7.4894514767932518E-2</v>
      </c>
      <c r="E14" s="31">
        <f>'7 Rozvaha'!F16/'7 Rozvaha'!E16-1</f>
        <v>0.10794896957801758</v>
      </c>
      <c r="F14" s="32">
        <f>'7 Rozvaha'!G16/'7 Rozvaha'!F16-1</f>
        <v>-0.11868910540301147</v>
      </c>
      <c r="G14" s="9"/>
      <c r="H14" s="6"/>
      <c r="I14" s="6"/>
      <c r="J14" s="6"/>
      <c r="K14" s="6"/>
      <c r="L14" s="6"/>
      <c r="M14" s="6"/>
    </row>
    <row r="15" spans="1:13" x14ac:dyDescent="0.2">
      <c r="A15" s="199" t="s">
        <v>687</v>
      </c>
      <c r="B15" s="200" t="s">
        <v>20</v>
      </c>
      <c r="C15" s="54">
        <f>'7 Rozvaha'!D17/'7 Rozvaha'!C17-1</f>
        <v>0.27164911754786969</v>
      </c>
      <c r="D15" s="44">
        <f>'7 Rozvaha'!E17/'7 Rozvaha'!D17-1</f>
        <v>5.1124895024530215E-3</v>
      </c>
      <c r="E15" s="44">
        <f>'7 Rozvaha'!F17/'7 Rozvaha'!E17-1</f>
        <v>1.9569041336851445E-2</v>
      </c>
      <c r="F15" s="45">
        <f>'7 Rozvaha'!G17/'7 Rozvaha'!F17-1</f>
        <v>3.7150456473294513E-2</v>
      </c>
      <c r="G15" s="9"/>
      <c r="H15" s="6"/>
      <c r="I15" s="6"/>
      <c r="J15" s="6"/>
      <c r="K15" s="6"/>
      <c r="L15" s="6"/>
    </row>
    <row r="16" spans="1:13" s="1" customFormat="1" x14ac:dyDescent="0.2">
      <c r="A16" s="197" t="s">
        <v>689</v>
      </c>
      <c r="B16" s="198" t="s">
        <v>151</v>
      </c>
      <c r="C16" s="52">
        <f>'7 Rozvaha'!D20/'7 Rozvaha'!C20-1</f>
        <v>8.6799276672695491E-3</v>
      </c>
      <c r="D16" s="46">
        <f>'7 Rozvaha'!E20/'7 Rozvaha'!D20-1</f>
        <v>4.562567228397274E-2</v>
      </c>
      <c r="E16" s="46">
        <f>'7 Rozvaha'!F20/'7 Rozvaha'!E20-1</f>
        <v>7.9725675096442572E-3</v>
      </c>
      <c r="F16" s="47">
        <f>'7 Rozvaha'!G20/'7 Rozvaha'!F20-1</f>
        <v>0.25714407212110912</v>
      </c>
      <c r="G16" s="9"/>
      <c r="H16" s="6"/>
      <c r="I16" s="6"/>
      <c r="J16" s="6"/>
    </row>
    <row r="17" spans="1:10" s="1" customFormat="1" ht="13.5" thickBot="1" x14ac:dyDescent="0.25">
      <c r="A17" s="195" t="s">
        <v>24</v>
      </c>
      <c r="B17" s="621" t="s">
        <v>691</v>
      </c>
      <c r="C17" s="624">
        <f>'7 Rozvaha'!D23/'7 Rozvaha'!C23-1</f>
        <v>0.86332482697927793</v>
      </c>
      <c r="D17" s="50">
        <f>'7 Rozvaha'!E23/'7 Rozvaha'!D23-1</f>
        <v>0.40708246824924066</v>
      </c>
      <c r="E17" s="50">
        <f>'7 Rozvaha'!F23/'7 Rozvaha'!E23-1</f>
        <v>0.33177733191983472</v>
      </c>
      <c r="F17" s="51">
        <f>'7 Rozvaha'!G23/'7 Rozvaha'!F23-1</f>
        <v>0.18017666754095263</v>
      </c>
      <c r="G17" s="9"/>
      <c r="H17" s="6"/>
      <c r="I17" s="6"/>
      <c r="J17" s="6"/>
    </row>
    <row r="18" spans="1:10" s="1" customFormat="1" ht="13.5" thickBot="1" x14ac:dyDescent="0.25">
      <c r="A18" s="566" t="s">
        <v>26</v>
      </c>
      <c r="B18" s="567" t="s">
        <v>692</v>
      </c>
      <c r="C18" s="634">
        <f>'7 Rozvaha'!D24/'7 Rozvaha'!C24-1</f>
        <v>0.74325581395348839</v>
      </c>
      <c r="D18" s="635">
        <f>'7 Rozvaha'!E24/'7 Rozvaha'!D24-1</f>
        <v>-0.14567769477054426</v>
      </c>
      <c r="E18" s="635">
        <f>'7 Rozvaha'!F24/'7 Rozvaha'!E24-1</f>
        <v>1.8226108682073705</v>
      </c>
      <c r="F18" s="636">
        <f>'7 Rozvaha'!G24/'7 Rozvaha'!F24-1</f>
        <v>0.53640185881832259</v>
      </c>
      <c r="G18" s="9"/>
      <c r="H18" s="6"/>
      <c r="I18" s="6"/>
      <c r="J18" s="6"/>
    </row>
    <row r="19" spans="1:10" ht="13.5" thickBot="1" x14ac:dyDescent="0.25">
      <c r="A19" s="190"/>
      <c r="B19" s="625"/>
      <c r="C19" s="24"/>
      <c r="D19" s="24"/>
      <c r="E19" s="24"/>
      <c r="F19" s="24"/>
      <c r="G19" s="9"/>
      <c r="H19" s="6"/>
      <c r="I19" s="6"/>
      <c r="J19" s="6"/>
    </row>
    <row r="20" spans="1:10" ht="13.5" thickBot="1" x14ac:dyDescent="0.25">
      <c r="A20" s="627"/>
      <c r="B20" s="549" t="s">
        <v>153</v>
      </c>
      <c r="C20" s="572">
        <f>výchozí_rok+1</f>
        <v>2013</v>
      </c>
      <c r="D20" s="551">
        <f>výchozí_rok+2</f>
        <v>2014</v>
      </c>
      <c r="E20" s="551">
        <f>výchozí_rok+3</f>
        <v>2015</v>
      </c>
      <c r="F20" s="626">
        <f>výchozí_rok+4</f>
        <v>2016</v>
      </c>
      <c r="G20" s="9"/>
      <c r="H20" s="6"/>
      <c r="I20" s="6"/>
      <c r="J20" s="6"/>
    </row>
    <row r="21" spans="1:10" s="1" customFormat="1" ht="13.5" thickBot="1" x14ac:dyDescent="0.25">
      <c r="A21" s="558"/>
      <c r="B21" s="554" t="s">
        <v>27</v>
      </c>
      <c r="C21" s="629">
        <f>'7 Rozvaha'!D26/'7 Rozvaha'!C26-1</f>
        <v>0.20084671566449019</v>
      </c>
      <c r="D21" s="629">
        <f>'7 Rozvaha'!E26/'7 Rozvaha'!D26-1</f>
        <v>1.1367447361862792E-2</v>
      </c>
      <c r="E21" s="629">
        <f>'7 Rozvaha'!F26/'7 Rozvaha'!E26-1</f>
        <v>1.9725578951395484E-2</v>
      </c>
      <c r="F21" s="630">
        <f>'7 Rozvaha'!G26/'7 Rozvaha'!F26-1</f>
        <v>9.3584471206025865E-2</v>
      </c>
      <c r="G21" s="9"/>
      <c r="H21" s="6"/>
      <c r="I21" s="6"/>
      <c r="J21" s="6"/>
    </row>
    <row r="22" spans="1:10" s="1" customFormat="1" ht="13.5" thickBot="1" x14ac:dyDescent="0.25">
      <c r="A22" s="566" t="s">
        <v>1</v>
      </c>
      <c r="B22" s="567" t="s">
        <v>28</v>
      </c>
      <c r="C22" s="638">
        <f>'7 Rozvaha'!D27/'7 Rozvaha'!C27-1</f>
        <v>7.2886594400407567E-2</v>
      </c>
      <c r="D22" s="638">
        <f>'7 Rozvaha'!E27/'7 Rozvaha'!D27-1</f>
        <v>3.5746371647038533E-3</v>
      </c>
      <c r="E22" s="638">
        <f>'7 Rozvaha'!F27/'7 Rozvaha'!E27-1</f>
        <v>9.5858329130811271E-2</v>
      </c>
      <c r="F22" s="639">
        <f>'7 Rozvaha'!G27/'7 Rozvaha'!F27-1</f>
        <v>0.11718410388038225</v>
      </c>
      <c r="G22" s="10"/>
      <c r="H22" s="6"/>
      <c r="I22" s="6"/>
      <c r="J22" s="6"/>
    </row>
    <row r="23" spans="1:10" s="1" customFormat="1" x14ac:dyDescent="0.2">
      <c r="A23" s="561" t="s">
        <v>694</v>
      </c>
      <c r="B23" s="562" t="s">
        <v>37</v>
      </c>
      <c r="C23" s="632">
        <f>'7 Rozvaha'!D33/'7 Rozvaha'!C33-1</f>
        <v>0.33874873702949326</v>
      </c>
      <c r="D23" s="632">
        <f>'7 Rozvaha'!E33/'7 Rozvaha'!D33-1</f>
        <v>6.5163222521713138E-2</v>
      </c>
      <c r="E23" s="632">
        <f>'7 Rozvaha'!F33/'7 Rozvaha'!E33-1</f>
        <v>-2.2257337104746644E-2</v>
      </c>
      <c r="F23" s="633">
        <f>'7 Rozvaha'!G33/'7 Rozvaha'!F33-1</f>
        <v>8.1175124086247941E-2</v>
      </c>
      <c r="G23" s="9"/>
      <c r="H23" s="6"/>
      <c r="I23" s="6"/>
      <c r="J23" s="6"/>
    </row>
    <row r="24" spans="1:10" s="1" customFormat="1" x14ac:dyDescent="0.2">
      <c r="A24" s="197" t="s">
        <v>2</v>
      </c>
      <c r="B24" s="198" t="s">
        <v>38</v>
      </c>
      <c r="C24" s="46"/>
      <c r="D24" s="46">
        <f>'7 Rozvaha'!E34/'7 Rozvaha'!D34-1</f>
        <v>1.4708661417322832</v>
      </c>
      <c r="E24" s="46">
        <f>'7 Rozvaha'!F34/'7 Rozvaha'!E34-1</f>
        <v>-0.5776503080518377</v>
      </c>
      <c r="F24" s="47">
        <f>'7 Rozvaha'!G34/'7 Rozvaha'!F34-1</f>
        <v>0.27515090543259557</v>
      </c>
      <c r="G24" s="9"/>
      <c r="H24" s="6"/>
      <c r="I24" s="6"/>
      <c r="J24" s="6"/>
    </row>
    <row r="25" spans="1:10" s="1" customFormat="1" x14ac:dyDescent="0.2">
      <c r="A25" s="197" t="s">
        <v>16</v>
      </c>
      <c r="B25" s="198" t="s">
        <v>706</v>
      </c>
      <c r="C25" s="46">
        <f>'7 Rozvaha'!D36/'7 Rozvaha'!C36-1</f>
        <v>0.55408936503788864</v>
      </c>
      <c r="D25" s="46">
        <f>'7 Rozvaha'!E36/'7 Rozvaha'!D36-1</f>
        <v>0.15544346364018491</v>
      </c>
      <c r="E25" s="46">
        <f>'7 Rozvaha'!F36/'7 Rozvaha'!E36-1</f>
        <v>6.0935681024447019E-2</v>
      </c>
      <c r="F25" s="47">
        <f>'7 Rozvaha'!G36/'7 Rozvaha'!F36-1</f>
        <v>0.14573260638480257</v>
      </c>
      <c r="G25" s="9"/>
      <c r="H25" s="6"/>
      <c r="I25" s="6"/>
      <c r="J25" s="6"/>
    </row>
    <row r="26" spans="1:10" s="1" customFormat="1" x14ac:dyDescent="0.2">
      <c r="A26" s="189" t="s">
        <v>21</v>
      </c>
      <c r="B26" s="193" t="s">
        <v>40</v>
      </c>
      <c r="C26" s="28">
        <f>'7 Rozvaha'!D39/'7 Rozvaha'!C39-1</f>
        <v>0.24843235200340108</v>
      </c>
      <c r="D26" s="28">
        <f>'7 Rozvaha'!E39/'7 Rozvaha'!D39-1</f>
        <v>5.7974715872812776E-3</v>
      </c>
      <c r="E26" s="28">
        <f>'7 Rozvaha'!F39/'7 Rozvaha'!E39-1</f>
        <v>-3.8841772044758138E-2</v>
      </c>
      <c r="F26" s="29">
        <f>'7 Rozvaha'!G39/'7 Rozvaha'!F39-1</f>
        <v>4.4620763140977626E-2</v>
      </c>
      <c r="G26" s="9"/>
      <c r="H26" s="6"/>
      <c r="I26" s="6"/>
      <c r="J26" s="6"/>
    </row>
    <row r="27" spans="1:10" x14ac:dyDescent="0.2">
      <c r="A27" s="190" t="s">
        <v>689</v>
      </c>
      <c r="B27" s="194" t="s">
        <v>707</v>
      </c>
      <c r="C27" s="58">
        <f>'7 Rozvaha'!D40/'7 Rozvaha'!C40-1</f>
        <v>-3.7188065359101796E-2</v>
      </c>
      <c r="D27" s="58">
        <f>'7 Rozvaha'!E40/'7 Rozvaha'!D40-1</f>
        <v>-0.15485564304461941</v>
      </c>
      <c r="E27" s="58">
        <f>'7 Rozvaha'!F40/'7 Rozvaha'!E40-1</f>
        <v>-0.39998588368153587</v>
      </c>
      <c r="F27" s="59">
        <f>'7 Rozvaha'!G40/'7 Rozvaha'!F40-1</f>
        <v>7.322667921421E-2</v>
      </c>
      <c r="G27" s="9"/>
      <c r="H27" s="6"/>
      <c r="I27" s="6"/>
      <c r="J27" s="6"/>
    </row>
    <row r="28" spans="1:10" s="1" customFormat="1" x14ac:dyDescent="0.2">
      <c r="A28" s="190" t="s">
        <v>699</v>
      </c>
      <c r="B28" s="194" t="s">
        <v>313</v>
      </c>
      <c r="C28" s="31">
        <f>'7 Rozvaha'!D41/'7 Rozvaha'!C41-1</f>
        <v>0.39850713819842021</v>
      </c>
      <c r="D28" s="31">
        <f>'7 Rozvaha'!E41/'7 Rozvaha'!D41-1</f>
        <v>3.5755000518188362E-2</v>
      </c>
      <c r="E28" s="31">
        <f>'7 Rozvaha'!F41/'7 Rozvaha'!E41-1</f>
        <v>0.15624374624774862</v>
      </c>
      <c r="F28" s="32">
        <f>'7 Rozvaha'!G41/'7 Rozvaha'!F41-1</f>
        <v>4.9803124053481085E-2</v>
      </c>
      <c r="G28" s="9"/>
      <c r="H28" s="6"/>
      <c r="I28" s="6"/>
      <c r="J28" s="6"/>
    </row>
    <row r="29" spans="1:10" ht="13.5" thickBot="1" x14ac:dyDescent="0.25">
      <c r="A29" s="190" t="s">
        <v>700</v>
      </c>
      <c r="B29" s="194" t="s">
        <v>701</v>
      </c>
      <c r="C29" s="31">
        <f>'7 Rozvaha'!D42/'7 Rozvaha'!C42-1</f>
        <v>0.45735870173475091</v>
      </c>
      <c r="D29" s="31">
        <f>'7 Rozvaha'!E42/'7 Rozvaha'!D42-1</f>
        <v>0.14602772338056291</v>
      </c>
      <c r="E29" s="31">
        <f>'7 Rozvaha'!F42/'7 Rozvaha'!E42-1</f>
        <v>-8.7917978958654386E-2</v>
      </c>
      <c r="F29" s="32">
        <f>'7 Rozvaha'!G42/'7 Rozvaha'!F42-1</f>
        <v>1.3555212695613772E-2</v>
      </c>
      <c r="G29" s="9"/>
      <c r="H29" s="6"/>
      <c r="I29" s="6"/>
      <c r="J29" s="6"/>
    </row>
    <row r="30" spans="1:10" s="1" customFormat="1" ht="13.5" thickBot="1" x14ac:dyDescent="0.25">
      <c r="A30" s="566" t="s">
        <v>26</v>
      </c>
      <c r="B30" s="567" t="s">
        <v>705</v>
      </c>
      <c r="C30" s="1116">
        <f>'7 Rozvaha'!D46/'7 Rozvaha'!C46-1</f>
        <v>0.16395952602849162</v>
      </c>
      <c r="D30" s="1116">
        <f>'7 Rozvaha'!E46/'7 Rozvaha'!D46-1</f>
        <v>-0.44009150700600519</v>
      </c>
      <c r="E30" s="1116">
        <f>'7 Rozvaha'!F46/'7 Rozvaha'!E46-1</f>
        <v>-0.30674157303370786</v>
      </c>
      <c r="F30" s="1117">
        <f>'7 Rozvaha'!G46/'7 Rozvaha'!F46-1</f>
        <v>-0.12214527773684991</v>
      </c>
      <c r="G30" s="9"/>
      <c r="H30" s="6"/>
      <c r="I30" s="6"/>
      <c r="J30" s="6"/>
    </row>
    <row r="32" spans="1:10" x14ac:dyDescent="0.2">
      <c r="B32" s="4"/>
      <c r="C32" s="5"/>
      <c r="D32" s="5"/>
      <c r="E32" s="5"/>
      <c r="F32" s="5"/>
    </row>
  </sheetData>
  <phoneticPr fontId="0" type="noConversion"/>
  <hyperlinks>
    <hyperlink ref="F1" location="Obsah!A1" display="Skok na obsah" xr:uid="{00000000-0004-0000-0B00-000000000000}"/>
  </hyperlinks>
  <pageMargins left="0.78740157480314965" right="0.78740157480314965"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ignoredErrors>
    <ignoredError sqref="C6:F16 C18:F23 C30:F30 C26 C25:F25 C24 E24:F24"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1"/>
  <sheetViews>
    <sheetView workbookViewId="0">
      <pane xSplit="3" ySplit="3" topLeftCell="D4" activePane="bottomRight" state="frozen"/>
      <selection pane="topRight" activeCell="D1" sqref="D1"/>
      <selection pane="bottomLeft" activeCell="A4" sqref="A4"/>
      <selection pane="bottomRight"/>
    </sheetView>
  </sheetViews>
  <sheetFormatPr defaultRowHeight="12.75" x14ac:dyDescent="0.2"/>
  <cols>
    <col min="1" max="1" width="3.42578125" customWidth="1"/>
    <col min="2" max="2" width="4.7109375" customWidth="1"/>
    <col min="3" max="3" width="39" bestFit="1" customWidth="1"/>
    <col min="4" max="8" width="9.7109375" bestFit="1" customWidth="1"/>
  </cols>
  <sheetData>
    <row r="1" spans="1:14" ht="21" customHeight="1" x14ac:dyDescent="0.2">
      <c r="A1" s="486" t="s">
        <v>449</v>
      </c>
      <c r="H1" s="926" t="s">
        <v>557</v>
      </c>
    </row>
    <row r="2" spans="1:14" ht="21" customHeight="1" thickBot="1" x14ac:dyDescent="0.25">
      <c r="A2" s="547" t="s">
        <v>457</v>
      </c>
    </row>
    <row r="3" spans="1:14" ht="13.5" thickBot="1" x14ac:dyDescent="0.25">
      <c r="A3" s="548"/>
      <c r="B3" s="571"/>
      <c r="C3" s="549" t="s">
        <v>155</v>
      </c>
      <c r="D3" s="550">
        <f>výchozí_rok</f>
        <v>2012</v>
      </c>
      <c r="E3" s="551">
        <f>výchozí_rok+1</f>
        <v>2013</v>
      </c>
      <c r="F3" s="551">
        <f>výchozí_rok+2</f>
        <v>2014</v>
      </c>
      <c r="G3" s="551">
        <f>výchozí_rok+3</f>
        <v>2015</v>
      </c>
      <c r="H3" s="626">
        <f>výchozí_rok+4</f>
        <v>2016</v>
      </c>
    </row>
    <row r="4" spans="1:14" x14ac:dyDescent="0.2">
      <c r="A4" s="640" t="s">
        <v>709</v>
      </c>
      <c r="B4" s="641"/>
      <c r="C4" s="1128" t="s">
        <v>44</v>
      </c>
      <c r="D4" s="1145">
        <f>'8 Výsledovka'!D5/'8 Výsledovka'!D$5</f>
        <v>1</v>
      </c>
      <c r="E4" s="1146">
        <f>'8 Výsledovka'!E5/'8 Výsledovka'!E$5</f>
        <v>1</v>
      </c>
      <c r="F4" s="1146">
        <f>'8 Výsledovka'!F5/'8 Výsledovka'!F$5</f>
        <v>1</v>
      </c>
      <c r="G4" s="1146">
        <f>'8 Výsledovka'!G5/'8 Výsledovka'!G$5</f>
        <v>1</v>
      </c>
      <c r="H4" s="1147">
        <f>'8 Výsledovka'!H5/'8 Výsledovka'!H$5</f>
        <v>1</v>
      </c>
    </row>
    <row r="5" spans="1:14" x14ac:dyDescent="0.2">
      <c r="A5" s="190"/>
      <c r="B5" s="3" t="s">
        <v>1</v>
      </c>
      <c r="C5" s="194" t="s">
        <v>47</v>
      </c>
      <c r="D5" s="30">
        <f>'8 Výsledovka'!D6/'8 Výsledovka'!D$5</f>
        <v>0.86419747940607239</v>
      </c>
      <c r="E5" s="31">
        <f>'8 Výsledovka'!E6/'8 Výsledovka'!E$5</f>
        <v>0.88165631915242826</v>
      </c>
      <c r="F5" s="31">
        <f>'8 Výsledovka'!F6/'8 Výsledovka'!F$5</f>
        <v>0.88262454289049352</v>
      </c>
      <c r="G5" s="31">
        <f>'8 Výsledovka'!G6/'8 Výsledovka'!G$5</f>
        <v>0.87592184176114818</v>
      </c>
      <c r="H5" s="32">
        <f>'8 Výsledovka'!H6/'8 Výsledovka'!H$5</f>
        <v>0.8772607518012534</v>
      </c>
    </row>
    <row r="6" spans="1:14" x14ac:dyDescent="0.2">
      <c r="A6" s="190"/>
      <c r="B6" s="1118" t="s">
        <v>65</v>
      </c>
      <c r="C6" s="1105" t="s">
        <v>45</v>
      </c>
      <c r="D6" s="1148">
        <f>'8 Výsledovka'!D7/'8 Výsledovka'!D$5</f>
        <v>0.84372373223517583</v>
      </c>
      <c r="E6" s="1149">
        <f>'8 Výsledovka'!E7/'8 Výsledovka'!E$5</f>
        <v>0.86520914807038196</v>
      </c>
      <c r="F6" s="1149">
        <f>'8 Výsledovka'!F7/'8 Výsledovka'!F$5</f>
        <v>0.86890388716424494</v>
      </c>
      <c r="G6" s="1149">
        <f>'8 Výsledovka'!G7/'8 Výsledovka'!G$5</f>
        <v>0.86123416417919907</v>
      </c>
      <c r="H6" s="1150">
        <f>'8 Výsledovka'!H7/'8 Výsledovka'!H$5</f>
        <v>0.86207893300009053</v>
      </c>
    </row>
    <row r="7" spans="1:14" x14ac:dyDescent="0.2">
      <c r="A7" s="199"/>
      <c r="B7" s="1123" t="s">
        <v>70</v>
      </c>
      <c r="C7" s="1110" t="s">
        <v>710</v>
      </c>
      <c r="D7" s="1151">
        <f>'8 Výsledovka'!D8/'8 Výsledovka'!D$5</f>
        <v>2.0473747170896603E-2</v>
      </c>
      <c r="E7" s="1152">
        <f>'8 Výsledovka'!E8/'8 Výsledovka'!E$5</f>
        <v>1.6447171082046262E-2</v>
      </c>
      <c r="F7" s="1152">
        <f>'8 Výsledovka'!F8/'8 Výsledovka'!F$5</f>
        <v>1.3720655726248596E-2</v>
      </c>
      <c r="G7" s="1152">
        <f>'8 Výsledovka'!G8/'8 Výsledovka'!G$5</f>
        <v>1.4687677581949119E-2</v>
      </c>
      <c r="H7" s="1153">
        <f>'8 Výsledovka'!H8/'8 Výsledovka'!H$5</f>
        <v>1.5181818801162846E-2</v>
      </c>
    </row>
    <row r="8" spans="1:14" x14ac:dyDescent="0.2">
      <c r="A8" s="190"/>
      <c r="B8" s="3" t="s">
        <v>26</v>
      </c>
      <c r="C8" s="194" t="s">
        <v>48</v>
      </c>
      <c r="D8" s="57">
        <f>'8 Výsledovka'!D9/'8 Výsledovka'!D$5</f>
        <v>7.9092630645876141E-2</v>
      </c>
      <c r="E8" s="58">
        <f>'8 Výsledovka'!E9/'8 Výsledovka'!E$5</f>
        <v>6.7092640908241977E-2</v>
      </c>
      <c r="F8" s="58">
        <f>'8 Výsledovka'!F9/'8 Výsledovka'!F$5</f>
        <v>6.7183222702550421E-2</v>
      </c>
      <c r="G8" s="58">
        <f>'8 Výsledovka'!G9/'8 Výsledovka'!G$5</f>
        <v>6.6366269305600439E-2</v>
      </c>
      <c r="H8" s="59">
        <f>'8 Výsledovka'!H9/'8 Výsledovka'!H$5</f>
        <v>6.3108832394628014E-2</v>
      </c>
    </row>
    <row r="9" spans="1:14" x14ac:dyDescent="0.2">
      <c r="A9" s="190"/>
      <c r="B9" s="3" t="s">
        <v>51</v>
      </c>
      <c r="C9" s="1479" t="s">
        <v>921</v>
      </c>
      <c r="D9" s="30">
        <f>'8 Výsledovka'!D13/'8 Výsledovka'!D$5</f>
        <v>1.6875280478943412E-2</v>
      </c>
      <c r="E9" s="31">
        <f>'8 Výsledovka'!E13/'8 Výsledovka'!E$5</f>
        <v>1.3071259189667955E-2</v>
      </c>
      <c r="F9" s="31">
        <f>'8 Výsledovka'!F13/'8 Výsledovka'!F$5</f>
        <v>1.9458205804922205E-2</v>
      </c>
      <c r="G9" s="31">
        <f>'8 Výsledovka'!G13/'8 Výsledovka'!G$5</f>
        <v>2.3929332682683633E-2</v>
      </c>
      <c r="H9" s="32">
        <f>'8 Výsledovka'!H13/'8 Výsledovka'!H$5</f>
        <v>2.2079283372214906E-2</v>
      </c>
    </row>
    <row r="10" spans="1:14" x14ac:dyDescent="0.2">
      <c r="A10" s="190"/>
      <c r="B10" s="3" t="s">
        <v>722</v>
      </c>
      <c r="C10" s="194" t="s">
        <v>50</v>
      </c>
      <c r="D10" s="30">
        <f>'8 Výsledovka'!D19/'8 Výsledovka'!D$5</f>
        <v>3.6332009264315019E-3</v>
      </c>
      <c r="E10" s="31">
        <f>'8 Výsledovka'!E19/'8 Výsledovka'!E$5</f>
        <v>2.4483143078673181E-3</v>
      </c>
      <c r="F10" s="31">
        <f>'8 Výsledovka'!F19/'8 Výsledovka'!F$5</f>
        <v>2.9503968622278227E-3</v>
      </c>
      <c r="G10" s="31">
        <f>'8 Výsledovka'!G19/'8 Výsledovka'!G$5</f>
        <v>3.6641295553400807E-3</v>
      </c>
      <c r="H10" s="32">
        <f>'8 Výsledovka'!H19/'8 Výsledovka'!H$5</f>
        <v>2.000040876747846E-3</v>
      </c>
    </row>
    <row r="11" spans="1:14" x14ac:dyDescent="0.2">
      <c r="A11" s="199"/>
      <c r="B11" s="2" t="s">
        <v>723</v>
      </c>
      <c r="C11" s="1482" t="s">
        <v>926</v>
      </c>
      <c r="D11" s="43">
        <f>'8 Výsledovka'!D20/'8 Výsledovka'!D$5</f>
        <v>-4.2097892187714918E-4</v>
      </c>
      <c r="E11" s="44">
        <f>'8 Výsledovka'!E20/'8 Výsledovka'!E$5</f>
        <v>2.1562823654587334E-3</v>
      </c>
      <c r="F11" s="44">
        <f>'8 Výsledovka'!F20/'8 Výsledovka'!F$5</f>
        <v>3.0595899363295184E-3</v>
      </c>
      <c r="G11" s="44">
        <f>'8 Výsledovka'!G20/'8 Výsledovka'!G$5</f>
        <v>-2.8719424217266299E-3</v>
      </c>
      <c r="H11" s="45">
        <f>'8 Výsledovka'!H20/'8 Výsledovka'!H$5</f>
        <v>5.3237097789833176E-4</v>
      </c>
      <c r="J11" s="256"/>
      <c r="K11" s="22"/>
      <c r="L11" s="22"/>
      <c r="M11" s="22"/>
      <c r="N11" s="22"/>
    </row>
    <row r="12" spans="1:14" x14ac:dyDescent="0.2">
      <c r="A12" s="190" t="s">
        <v>735</v>
      </c>
      <c r="B12" s="3"/>
      <c r="C12" s="194" t="s">
        <v>734</v>
      </c>
      <c r="D12" s="30">
        <f>('8 Výsledovka'!D15-'8 Výsledovka'!D18)/'8 Výsledovka'!D$5</f>
        <v>0</v>
      </c>
      <c r="E12" s="31">
        <f>('8 Výsledovka'!E15-'8 Výsledovka'!E18)/'8 Výsledovka'!E$5</f>
        <v>0</v>
      </c>
      <c r="F12" s="31">
        <f>('8 Výsledovka'!F15-'8 Výsledovka'!F18)/'8 Výsledovka'!F$5</f>
        <v>0</v>
      </c>
      <c r="G12" s="31">
        <f>('8 Výsledovka'!G15-'8 Výsledovka'!G18)/'8 Výsledovka'!G$5</f>
        <v>4.6020791215384063E-3</v>
      </c>
      <c r="H12" s="32">
        <f>('8 Výsledovka'!H15-'8 Výsledovka'!H18)/'8 Výsledovka'!H$5</f>
        <v>0</v>
      </c>
    </row>
    <row r="13" spans="1:14" x14ac:dyDescent="0.2">
      <c r="A13" s="1154" t="s">
        <v>737</v>
      </c>
      <c r="B13" s="244"/>
      <c r="C13" s="194" t="s">
        <v>736</v>
      </c>
      <c r="D13" s="30">
        <f>('8 Výsledovka'!D16-'8 Výsledovka'!D21)/'8 Výsledovka'!D$5</f>
        <v>4.4320883194326927E-4</v>
      </c>
      <c r="E13" s="31">
        <f>('8 Výsledovka'!E16-'8 Výsledovka'!E21)/'8 Výsledovka'!E$5</f>
        <v>-1.1149281522188202E-4</v>
      </c>
      <c r="F13" s="31">
        <f>('8 Výsledovka'!F16-'8 Výsledovka'!F21)/'8 Výsledovka'!F$5</f>
        <v>-4.4026647477803781E-3</v>
      </c>
      <c r="G13" s="31">
        <f>('8 Výsledovka'!G16-'8 Výsledovka'!G21)/'8 Výsledovka'!G$5</f>
        <v>-2.1906614868190625E-3</v>
      </c>
      <c r="H13" s="32">
        <f>('8 Výsledovka'!H16-'8 Výsledovka'!H21)/'8 Výsledovka'!H$5</f>
        <v>1.1936983626915977E-3</v>
      </c>
    </row>
    <row r="14" spans="1:14" s="1" customFormat="1" ht="13.5" thickBot="1" x14ac:dyDescent="0.25">
      <c r="A14" s="191" t="s">
        <v>54</v>
      </c>
      <c r="B14" s="203"/>
      <c r="C14" s="206" t="s">
        <v>55</v>
      </c>
      <c r="D14" s="49">
        <f>'8 Výsledovka'!D22/'8 Výsledovka'!D$5</f>
        <v>3.7065596296496986E-2</v>
      </c>
      <c r="E14" s="50">
        <f>'8 Výsledovka'!E22/'8 Výsledovka'!E$5</f>
        <v>3.3463691261113912E-2</v>
      </c>
      <c r="F14" s="50">
        <f>'8 Výsledovka'!F22/'8 Výsledovka'!F$5</f>
        <v>2.0321377055696112E-2</v>
      </c>
      <c r="G14" s="50">
        <f>'8 Výsledovka'!G22/'8 Výsledovka'!G$5</f>
        <v>3.5401786751673631E-2</v>
      </c>
      <c r="H14" s="51">
        <f>'8 Výsledovka'!H22/'8 Výsledovka'!H$5</f>
        <v>3.6212418939949136E-2</v>
      </c>
      <c r="J14" s="258"/>
      <c r="K14" s="258"/>
      <c r="L14" s="258"/>
      <c r="M14" s="258"/>
      <c r="N14" s="258"/>
    </row>
    <row r="15" spans="1:14" x14ac:dyDescent="0.2">
      <c r="A15" s="190" t="s">
        <v>724</v>
      </c>
      <c r="B15" s="3"/>
      <c r="C15" s="194" t="s">
        <v>57</v>
      </c>
      <c r="D15" s="30">
        <f>('8 Výsledovka'!D23+'8 Výsledovka'!D24)/'8 Výsledovka'!D$5</f>
        <v>1.4498069471247696E-4</v>
      </c>
      <c r="E15" s="31">
        <f>('8 Výsledovka'!E23+'8 Výsledovka'!E24)/'8 Výsledovka'!E$5</f>
        <v>1.0584079165558369E-4</v>
      </c>
      <c r="F15" s="31">
        <f>('8 Výsledovka'!F23+'8 Výsledovka'!F24)/'8 Výsledovka'!F$5</f>
        <v>1.6022591909830536E-4</v>
      </c>
      <c r="G15" s="31">
        <f>('8 Výsledovka'!G23+'8 Výsledovka'!G24)/'8 Výsledovka'!G$5</f>
        <v>1.5316482685020648E-4</v>
      </c>
      <c r="H15" s="32">
        <f>('8 Výsledovka'!H23+'8 Výsledovka'!H24)/'8 Výsledovka'!H$5</f>
        <v>1.3576329511519328E-4</v>
      </c>
    </row>
    <row r="16" spans="1:14" x14ac:dyDescent="0.2">
      <c r="A16" s="199"/>
      <c r="B16" s="2" t="s">
        <v>725</v>
      </c>
      <c r="C16" s="194" t="s">
        <v>58</v>
      </c>
      <c r="D16" s="30">
        <f>'8 Výsledovka'!D25/'8 Výsledovka'!D$5</f>
        <v>1.6024986418914318E-2</v>
      </c>
      <c r="E16" s="31">
        <f>'8 Výsledovka'!E25/'8 Výsledovka'!E$5</f>
        <v>1.3334993463238498E-2</v>
      </c>
      <c r="F16" s="31">
        <f>'8 Výsledovka'!F25/'8 Výsledovka'!F$5</f>
        <v>1.1720784574076035E-2</v>
      </c>
      <c r="G16" s="31">
        <f>'8 Výsledovka'!G25/'8 Výsledovka'!G$5</f>
        <v>8.2693774254129406E-3</v>
      </c>
      <c r="H16" s="32">
        <f>'8 Výsledovka'!H25/'8 Výsledovka'!H$5</f>
        <v>5.1271120869623614E-3</v>
      </c>
    </row>
    <row r="17" spans="1:8" s="1" customFormat="1" ht="13.5" thickBot="1" x14ac:dyDescent="0.25">
      <c r="A17" s="191" t="s">
        <v>54</v>
      </c>
      <c r="B17" s="203"/>
      <c r="C17" s="206" t="s">
        <v>59</v>
      </c>
      <c r="D17" s="49">
        <f>'8 Výsledovka'!D26/'8 Výsledovka'!D$5</f>
        <v>-1.588000572420184E-2</v>
      </c>
      <c r="E17" s="50">
        <f>'8 Výsledovka'!E26/'8 Výsledovka'!E$5</f>
        <v>-1.3229152671582915E-2</v>
      </c>
      <c r="F17" s="50">
        <f>'8 Výsledovka'!F26/'8 Výsledovka'!F$5</f>
        <v>-1.156055865497773E-2</v>
      </c>
      <c r="G17" s="50">
        <f>'8 Výsledovka'!G26/'8 Výsledovka'!G$5</f>
        <v>-8.1162125985627335E-3</v>
      </c>
      <c r="H17" s="51">
        <f>'8 Výsledovka'!H26/'8 Výsledovka'!H$5</f>
        <v>-4.9913487918471682E-3</v>
      </c>
    </row>
    <row r="18" spans="1:8" s="1" customFormat="1" x14ac:dyDescent="0.2">
      <c r="A18" s="1155" t="s">
        <v>60</v>
      </c>
      <c r="B18" s="1156"/>
      <c r="C18" s="1157" t="s">
        <v>318</v>
      </c>
      <c r="D18" s="1159">
        <f>'8 Výsledovka'!D27/'8 Výsledovka'!D$5</f>
        <v>2.1185590572295143E-2</v>
      </c>
      <c r="E18" s="1160">
        <f>'8 Výsledovka'!E27/'8 Výsledovka'!E$5</f>
        <v>2.0234538589530993E-2</v>
      </c>
      <c r="F18" s="1160">
        <f>'8 Výsledovka'!F27/'8 Výsledovka'!F$5</f>
        <v>8.7608184007183804E-3</v>
      </c>
      <c r="G18" s="1160">
        <f>'8 Výsledovka'!G27/'8 Výsledovka'!G$5</f>
        <v>2.7285574153110892E-2</v>
      </c>
      <c r="H18" s="1161">
        <f>'8 Výsledovka'!H27/'8 Výsledovka'!H$5</f>
        <v>3.1221070148101968E-2</v>
      </c>
    </row>
    <row r="19" spans="1:8" ht="13.5" thickBot="1" x14ac:dyDescent="0.25">
      <c r="A19" s="190"/>
      <c r="B19" s="3" t="s">
        <v>738</v>
      </c>
      <c r="C19" s="194" t="s">
        <v>728</v>
      </c>
      <c r="D19" s="30">
        <f>'8 Výsledovka'!D28/'8 Výsledovka'!D$5</f>
        <v>4.025262208736077E-3</v>
      </c>
      <c r="E19" s="31">
        <f>'8 Výsledovka'!E28/'8 Výsledovka'!E$5</f>
        <v>3.8445623320108886E-3</v>
      </c>
      <c r="F19" s="31">
        <f>'8 Výsledovka'!F28/'8 Výsledovka'!F$5</f>
        <v>1.6645554961364924E-3</v>
      </c>
      <c r="G19" s="31">
        <f>'8 Výsledovka'!G28/'8 Výsledovka'!G$5</f>
        <v>5.1842590890910705E-3</v>
      </c>
      <c r="H19" s="32">
        <f>'8 Výsledovka'!H28/'8 Výsledovka'!H$5</f>
        <v>5.9320033281393741E-3</v>
      </c>
    </row>
    <row r="20" spans="1:8" s="1" customFormat="1" x14ac:dyDescent="0.2">
      <c r="A20" s="1133" t="s">
        <v>60</v>
      </c>
      <c r="B20" s="1134"/>
      <c r="C20" s="1135" t="s">
        <v>729</v>
      </c>
      <c r="D20" s="1162">
        <f>'8 Výsledovka'!D29/'8 Výsledovka'!D$5</f>
        <v>1.7160328363559064E-2</v>
      </c>
      <c r="E20" s="1163">
        <f>'8 Výsledovka'!E29/'8 Výsledovka'!E$5</f>
        <v>1.6389976257520103E-2</v>
      </c>
      <c r="F20" s="1163">
        <f>'8 Výsledovka'!F29/'8 Výsledovka'!F$5</f>
        <v>7.0962629045818884E-3</v>
      </c>
      <c r="G20" s="1163">
        <f>'8 Výsledovka'!G29/'8 Výsledovka'!G$5</f>
        <v>2.2101315064019824E-2</v>
      </c>
      <c r="H20" s="1164">
        <f>'8 Výsledovka'!H29/'8 Výsledovka'!H$5</f>
        <v>2.5289066819962597E-2</v>
      </c>
    </row>
    <row r="21" spans="1:8" s="1" customFormat="1" ht="13.5" thickBot="1" x14ac:dyDescent="0.25">
      <c r="A21" s="1139" t="s">
        <v>61</v>
      </c>
      <c r="B21" s="1140"/>
      <c r="C21" s="1141" t="s">
        <v>317</v>
      </c>
      <c r="D21" s="1165">
        <f>'8 Výsledovka'!D30/'8 Výsledovka'!D$5</f>
        <v>1.7160328363559064E-2</v>
      </c>
      <c r="E21" s="1166">
        <f>'8 Výsledovka'!E30/'8 Výsledovka'!E$5</f>
        <v>1.6389976257520103E-2</v>
      </c>
      <c r="F21" s="1166">
        <f>'8 Výsledovka'!F30/'8 Výsledovka'!F$5</f>
        <v>7.0962629045818884E-3</v>
      </c>
      <c r="G21" s="1166">
        <f>'8 Výsledovka'!G30/'8 Výsledovka'!G$5</f>
        <v>2.2101315064019824E-2</v>
      </c>
      <c r="H21" s="1167">
        <f>'8 Výsledovka'!H30/'8 Výsledovka'!H$5</f>
        <v>2.5289066819962597E-2</v>
      </c>
    </row>
  </sheetData>
  <phoneticPr fontId="0" type="noConversion"/>
  <hyperlinks>
    <hyperlink ref="H1" location="Obsah!A1" display="Skok na obsah" xr:uid="{00000000-0004-0000-0C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ignoredErrors>
    <ignoredError sqref="D4:H4 D10:H10 D6:H8 D12:H12 D19:H19 D14:H14 D21:H21 D16:H1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9"/>
  <sheetViews>
    <sheetView workbookViewId="0">
      <pane xSplit="3" ySplit="3" topLeftCell="D4" activePane="bottomRight" state="frozen"/>
      <selection pane="topRight" activeCell="D1" sqref="D1"/>
      <selection pane="bottomLeft" activeCell="A4" sqref="A4"/>
      <selection pane="bottomRight"/>
    </sheetView>
  </sheetViews>
  <sheetFormatPr defaultRowHeight="12.75" x14ac:dyDescent="0.2"/>
  <cols>
    <col min="1" max="1" width="3.42578125" customWidth="1"/>
    <col min="2" max="2" width="4.7109375" customWidth="1"/>
    <col min="3" max="3" width="43.7109375" bestFit="1" customWidth="1"/>
    <col min="4" max="7" width="9.7109375" bestFit="1" customWidth="1"/>
    <col min="9" max="12" width="9.28515625" bestFit="1" customWidth="1"/>
  </cols>
  <sheetData>
    <row r="1" spans="1:12" ht="21" customHeight="1" x14ac:dyDescent="0.2">
      <c r="A1" s="486" t="s">
        <v>449</v>
      </c>
      <c r="G1" s="926" t="s">
        <v>557</v>
      </c>
    </row>
    <row r="2" spans="1:12" ht="21" customHeight="1" thickBot="1" x14ac:dyDescent="0.25">
      <c r="A2" s="547" t="s">
        <v>458</v>
      </c>
    </row>
    <row r="3" spans="1:12" ht="13.5" thickBot="1" x14ac:dyDescent="0.25">
      <c r="A3" s="548"/>
      <c r="B3" s="571"/>
      <c r="C3" s="549" t="s">
        <v>155</v>
      </c>
      <c r="D3" s="550">
        <f>výchozí_rok+1</f>
        <v>2013</v>
      </c>
      <c r="E3" s="551">
        <f>výchozí_rok+2</f>
        <v>2014</v>
      </c>
      <c r="F3" s="551">
        <f>výchozí_rok+3</f>
        <v>2015</v>
      </c>
      <c r="G3" s="626">
        <f>výchozí_rok+4</f>
        <v>2016</v>
      </c>
    </row>
    <row r="4" spans="1:12" x14ac:dyDescent="0.2">
      <c r="A4" s="640" t="s">
        <v>709</v>
      </c>
      <c r="B4" s="641"/>
      <c r="C4" s="1128" t="s">
        <v>44</v>
      </c>
      <c r="D4" s="1145">
        <f>'8 Výsledovka'!E5/'8 Výsledovka'!D5-1</f>
        <v>0.22745921853529905</v>
      </c>
      <c r="E4" s="1146">
        <f>'8 Výsledovka'!F5/'8 Výsledovka'!E5-1</f>
        <v>3.6610392035903994E-2</v>
      </c>
      <c r="F4" s="1146">
        <f>'8 Výsledovka'!G5/'8 Výsledovka'!F5-1</f>
        <v>3.3781061334841711E-2</v>
      </c>
      <c r="G4" s="1147">
        <f>'8 Výsledovka'!H5/'8 Výsledovka'!G5-1</f>
        <v>8.5274191810686295E-2</v>
      </c>
    </row>
    <row r="5" spans="1:12" x14ac:dyDescent="0.2">
      <c r="A5" s="190"/>
      <c r="B5" s="3" t="s">
        <v>1</v>
      </c>
      <c r="C5" s="194" t="s">
        <v>47</v>
      </c>
      <c r="D5" s="1171">
        <f>'8 Výsledovka'!E6/'8 Výsledovka'!D6-1</f>
        <v>0.2522568073992737</v>
      </c>
      <c r="E5" s="1172">
        <f>'8 Výsledovka'!F6/'8 Výsledovka'!E6-1</f>
        <v>3.7748784362813481E-2</v>
      </c>
      <c r="F5" s="1172">
        <f>'8 Výsledovka'!G6/'8 Výsledovka'!F6-1</f>
        <v>2.5930468981480548E-2</v>
      </c>
      <c r="G5" s="1173">
        <f>'8 Výsledovka'!H6/'8 Výsledovka'!G6-1</f>
        <v>8.6933112096040377E-2</v>
      </c>
    </row>
    <row r="6" spans="1:12" x14ac:dyDescent="0.2">
      <c r="A6" s="190"/>
      <c r="B6" s="1118" t="s">
        <v>65</v>
      </c>
      <c r="C6" s="1105" t="s">
        <v>45</v>
      </c>
      <c r="D6" s="1149">
        <f>'8 Výsledovka'!E7/'8 Výsledovka'!D7-1</f>
        <v>0.25871645443302915</v>
      </c>
      <c r="E6" s="1149">
        <f>'8 Výsledovka'!F7/'8 Výsledovka'!E7-1</f>
        <v>4.1037073086493292E-2</v>
      </c>
      <c r="F6" s="1149">
        <f>'8 Výsledovka'!G7/'8 Výsledovka'!F7-1</f>
        <v>2.4655984919886853E-2</v>
      </c>
      <c r="G6" s="1150">
        <f>'8 Výsledovka'!H7/'8 Výsledovka'!G7-1</f>
        <v>8.6338717392104192E-2</v>
      </c>
    </row>
    <row r="7" spans="1:12" x14ac:dyDescent="0.2">
      <c r="A7" s="199"/>
      <c r="B7" s="1123" t="s">
        <v>70</v>
      </c>
      <c r="C7" s="1110" t="s">
        <v>710</v>
      </c>
      <c r="D7" s="1152">
        <f>'8 Výsledovka'!E8/'8 Výsledovka'!D8-1</f>
        <v>-1.3945439739413645E-2</v>
      </c>
      <c r="E7" s="1152">
        <f>'8 Výsledovka'!F8/'8 Výsledovka'!E8-1</f>
        <v>-0.13523278620832047</v>
      </c>
      <c r="F7" s="1152">
        <f>'8 Výsledovka'!G8/'8 Výsledovka'!F8-1</f>
        <v>0.10664120011141609</v>
      </c>
      <c r="G7" s="1153">
        <f>'8 Výsledovka'!H8/'8 Výsledovka'!G8-1</f>
        <v>0.12178634353313433</v>
      </c>
    </row>
    <row r="8" spans="1:12" x14ac:dyDescent="0.2">
      <c r="A8" s="190"/>
      <c r="B8" s="3" t="s">
        <v>26</v>
      </c>
      <c r="C8" s="194" t="s">
        <v>48</v>
      </c>
      <c r="D8" s="57">
        <f>'8 Výsledovka'!E9/'8 Výsledovka'!D9-1</f>
        <v>4.1228239675373812E-2</v>
      </c>
      <c r="E8" s="58">
        <f>'8 Výsledovka'!F9/'8 Výsledovka'!E9-1</f>
        <v>3.8009920032392008E-2</v>
      </c>
      <c r="F8" s="58">
        <f>'8 Výsledovka'!G9/'8 Výsledovka'!F9-1</f>
        <v>2.1210200399824464E-2</v>
      </c>
      <c r="G8" s="59">
        <f>'8 Výsledovka'!H9/'8 Výsledovka'!G9-1</f>
        <v>3.2005984211866512E-2</v>
      </c>
    </row>
    <row r="9" spans="1:12" x14ac:dyDescent="0.2">
      <c r="A9" s="190"/>
      <c r="B9" s="3" t="s">
        <v>51</v>
      </c>
      <c r="C9" s="1479" t="s">
        <v>921</v>
      </c>
      <c r="D9" s="30">
        <f>'8 Výsledovka'!E13/'8 Výsledovka'!D13-1</f>
        <v>-4.9234315824139618E-2</v>
      </c>
      <c r="E9" s="31">
        <f>'8 Výsledovka'!F13/'8 Výsledovka'!E13-1</f>
        <v>0.54312435053688946</v>
      </c>
      <c r="F9" s="31">
        <f>'8 Výsledovka'!G13/'8 Výsledovka'!F13-1</f>
        <v>0.271324354657688</v>
      </c>
      <c r="G9" s="32">
        <f>'8 Výsledovka'!H13/'8 Výsledovka'!G13-1</f>
        <v>1.3683513573161665E-3</v>
      </c>
    </row>
    <row r="10" spans="1:12" x14ac:dyDescent="0.2">
      <c r="A10" s="190"/>
      <c r="B10" s="3" t="s">
        <v>722</v>
      </c>
      <c r="C10" s="194" t="s">
        <v>50</v>
      </c>
      <c r="D10" s="30">
        <f>'8 Výsledovka'!E19/'8 Výsledovka'!D19-1</f>
        <v>-0.17284894837476095</v>
      </c>
      <c r="E10" s="31">
        <f>'8 Výsledovka'!F19/'8 Výsledovka'!E19-1</f>
        <v>0.2491909385113269</v>
      </c>
      <c r="F10" s="31">
        <f>'8 Výsledovka'!G19/'8 Výsledovka'!F19-1</f>
        <v>0.28386380458919325</v>
      </c>
      <c r="G10" s="32">
        <f>'8 Výsledovka'!H19/'8 Výsledovka'!G19-1</f>
        <v>-0.40761026232343611</v>
      </c>
    </row>
    <row r="11" spans="1:12" x14ac:dyDescent="0.2">
      <c r="A11" s="199"/>
      <c r="B11" s="2" t="s">
        <v>723</v>
      </c>
      <c r="C11" s="1482" t="s">
        <v>926</v>
      </c>
      <c r="D11" s="30">
        <f>'8 Výsledovka'!E20/'8 Výsledovka'!D20</f>
        <v>-6.2871287128712874</v>
      </c>
      <c r="E11" s="31">
        <f>'8 Výsledovka'!F20/'8 Výsledovka'!E20</f>
        <v>1.4708661417322835</v>
      </c>
      <c r="F11" s="31">
        <f>'8 Výsledovka'!G20/'8 Výsledovka'!F20</f>
        <v>-0.97037830121341895</v>
      </c>
      <c r="G11" s="32">
        <f>'8 Výsledovka'!H20/'8 Výsledovka'!G20</f>
        <v>-0.20117690327326224</v>
      </c>
      <c r="I11" s="22"/>
      <c r="J11" s="22"/>
      <c r="K11" s="22"/>
      <c r="L11" s="22"/>
    </row>
    <row r="12" spans="1:12" s="1" customFormat="1" ht="13.5" thickBot="1" x14ac:dyDescent="0.25">
      <c r="A12" s="191" t="s">
        <v>54</v>
      </c>
      <c r="B12" s="203"/>
      <c r="C12" s="206" t="s">
        <v>55</v>
      </c>
      <c r="D12" s="49">
        <f>'8 Výsledovka'!E22/'8 Výsledovka'!D22-1</f>
        <v>0.10817902391483614</v>
      </c>
      <c r="E12" s="50">
        <f>'8 Výsledovka'!F22/'8 Výsledovka'!E22-1</f>
        <v>-0.37050128534704374</v>
      </c>
      <c r="F12" s="50">
        <f>'8 Výsledovka'!G22/'8 Výsledovka'!F22-1</f>
        <v>0.80094570269471532</v>
      </c>
      <c r="G12" s="51">
        <f>'8 Výsledovka'!H22/'8 Výsledovka'!G22-1</f>
        <v>0.11012486387301768</v>
      </c>
    </row>
    <row r="13" spans="1:12" x14ac:dyDescent="0.2">
      <c r="A13" s="190" t="s">
        <v>724</v>
      </c>
      <c r="B13" s="3"/>
      <c r="C13" s="194" t="s">
        <v>57</v>
      </c>
      <c r="D13" s="1168">
        <f>('8 Výsledovka'!E23+'8 Výsledovka'!E24)/('8 Výsledovka'!D23+'8 Výsledovka'!D24)-1</f>
        <v>-0.10391341638715623</v>
      </c>
      <c r="E13" s="1169">
        <f>('8 Výsledovka'!F23+'8 Výsledovka'!F24)/('8 Výsledovka'!E23+'8 Výsledovka'!E24)-1</f>
        <v>0.56926124807613454</v>
      </c>
      <c r="F13" s="1169">
        <f>('8 Výsledovka'!G23+'8 Výsledovka'!G24)/('8 Výsledovka'!F23+'8 Výsledovka'!F24)-1</f>
        <v>-1.1777257066466817E-2</v>
      </c>
      <c r="G13" s="1170">
        <f>('8 Výsledovka'!H23+'8 Výsledovka'!H24)/('8 Výsledovka'!G23+'8 Výsledovka'!G24)-1</f>
        <v>-3.8027180171108288E-2</v>
      </c>
    </row>
    <row r="14" spans="1:12" x14ac:dyDescent="0.2">
      <c r="A14" s="199"/>
      <c r="B14" s="2" t="s">
        <v>725</v>
      </c>
      <c r="C14" s="194" t="s">
        <v>58</v>
      </c>
      <c r="D14" s="30">
        <f>'8 Výsledovka'!E25/'8 Výsledovka'!D25-1</f>
        <v>2.141494711288372E-2</v>
      </c>
      <c r="E14" s="31">
        <f>'8 Výsledovka'!F25/'8 Výsledovka'!E25-1</f>
        <v>-8.8871912401324193E-2</v>
      </c>
      <c r="F14" s="31">
        <f>'8 Výsledovka'!G25/'8 Výsledovka'!F25-1</f>
        <v>-0.27063536426308921</v>
      </c>
      <c r="G14" s="32">
        <f>'8 Výsledovka'!H25/'8 Výsledovka'!G25-1</f>
        <v>-0.32711712862434539</v>
      </c>
    </row>
    <row r="15" spans="1:12" s="1" customFormat="1" ht="13.5" thickBot="1" x14ac:dyDescent="0.25">
      <c r="A15" s="191" t="s">
        <v>54</v>
      </c>
      <c r="B15" s="203"/>
      <c r="C15" s="206" t="s">
        <v>59</v>
      </c>
      <c r="D15" s="49">
        <f>'8 Výsledovka'!E26/'8 Výsledovka'!D26-1</f>
        <v>2.2559165416263793E-2</v>
      </c>
      <c r="E15" s="50">
        <f>'8 Výsledovka'!F26/'8 Výsledovka'!E26-1</f>
        <v>-9.413735429688519E-2</v>
      </c>
      <c r="F15" s="50">
        <f>'8 Výsledovka'!G26/'8 Výsledovka'!F26-1</f>
        <v>-0.27422306096352234</v>
      </c>
      <c r="G15" s="51">
        <f>'8 Výsledovka'!H26/'8 Výsledovka'!G26-1</f>
        <v>-0.3325726796416778</v>
      </c>
    </row>
    <row r="16" spans="1:12" s="1" customFormat="1" x14ac:dyDescent="0.2">
      <c r="A16" s="1155" t="s">
        <v>60</v>
      </c>
      <c r="B16" s="1156"/>
      <c r="C16" s="1157" t="s">
        <v>318</v>
      </c>
      <c r="D16" s="1159">
        <f>'8 Výsledovka'!E27/'8 Výsledovka'!D27-1</f>
        <v>0.17235678843940483</v>
      </c>
      <c r="E16" s="1160">
        <f>'8 Výsledovka'!F27/'8 Výsledovka'!E27-1</f>
        <v>-0.55118544676760328</v>
      </c>
      <c r="F16" s="1160">
        <f>'8 Výsledovka'!G27/'8 Výsledovka'!F27-1</f>
        <v>2.2197117343307244</v>
      </c>
      <c r="G16" s="1161">
        <f>'8 Výsledovka'!H27/'8 Výsledovka'!G27-1</f>
        <v>0.24180717188914191</v>
      </c>
    </row>
    <row r="17" spans="1:7" ht="13.5" thickBot="1" x14ac:dyDescent="0.25">
      <c r="A17" s="199"/>
      <c r="B17" s="2" t="s">
        <v>738</v>
      </c>
      <c r="C17" s="1479" t="s">
        <v>922</v>
      </c>
      <c r="D17" s="30">
        <f>'8 Výsledovka'!E28/'8 Výsledovka'!D28-1</f>
        <v>0.17235678843940483</v>
      </c>
      <c r="E17" s="31">
        <f>'8 Výsledovka'!F28/'8 Výsledovka'!E28-1</f>
        <v>-0.55118544676760339</v>
      </c>
      <c r="F17" s="31">
        <f>'8 Výsledovka'!G28/'8 Výsledovka'!F28-1</f>
        <v>2.2197117343307249</v>
      </c>
      <c r="G17" s="32">
        <f>'8 Výsledovka'!H28/'8 Výsledovka'!G28-1</f>
        <v>0.24180717188914191</v>
      </c>
    </row>
    <row r="18" spans="1:7" s="1" customFormat="1" x14ac:dyDescent="0.2">
      <c r="A18" s="1133" t="s">
        <v>60</v>
      </c>
      <c r="B18" s="1134"/>
      <c r="C18" s="1135" t="s">
        <v>729</v>
      </c>
      <c r="D18" s="1162">
        <f>'8 Výsledovka'!E29/'8 Výsledovka'!D29-1</f>
        <v>0.17235678843940461</v>
      </c>
      <c r="E18" s="1163">
        <f>'8 Výsledovka'!F29/'8 Výsledovka'!E29-1</f>
        <v>-0.55118544676760328</v>
      </c>
      <c r="F18" s="1163">
        <f>'8 Výsledovka'!G29/'8 Výsledovka'!F29-1</f>
        <v>2.2197117343307244</v>
      </c>
      <c r="G18" s="1164">
        <f>'8 Výsledovka'!H29/'8 Výsledovka'!G29-1</f>
        <v>0.24180717188914191</v>
      </c>
    </row>
    <row r="19" spans="1:7" s="1" customFormat="1" ht="13.5" thickBot="1" x14ac:dyDescent="0.25">
      <c r="A19" s="1139" t="s">
        <v>61</v>
      </c>
      <c r="B19" s="1140"/>
      <c r="C19" s="1141" t="s">
        <v>317</v>
      </c>
      <c r="D19" s="1165">
        <f>'8 Výsledovka'!E30/'8 Výsledovka'!D30-1</f>
        <v>0.17235678843940461</v>
      </c>
      <c r="E19" s="1166">
        <f>'8 Výsledovka'!F30/'8 Výsledovka'!E30-1</f>
        <v>-0.55118544676760328</v>
      </c>
      <c r="F19" s="1166">
        <f>'8 Výsledovka'!G30/'8 Výsledovka'!F30-1</f>
        <v>2.2197117343307244</v>
      </c>
      <c r="G19" s="1167">
        <f>'8 Výsledovka'!H30/'8 Výsledovka'!G30-1</f>
        <v>0.24180717188914191</v>
      </c>
    </row>
  </sheetData>
  <phoneticPr fontId="0" type="noConversion"/>
  <hyperlinks>
    <hyperlink ref="G1" location="Obsah!A1" display="Skok na obsah" xr:uid="{00000000-0004-0000-0D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ignoredErrors>
    <ignoredError sqref="D10:G10 D4:G4 D6:G8 D17:G17 D12:G12 D14:G15"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1"/>
  <sheetViews>
    <sheetView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34" customWidth="1"/>
  </cols>
  <sheetData>
    <row r="1" spans="1:7" ht="21" customHeight="1" x14ac:dyDescent="0.2">
      <c r="A1" s="486" t="s">
        <v>449</v>
      </c>
      <c r="F1" s="926" t="s">
        <v>557</v>
      </c>
    </row>
    <row r="2" spans="1:7" ht="21" customHeight="1" thickBot="1" x14ac:dyDescent="0.25">
      <c r="A2" s="547" t="s">
        <v>459</v>
      </c>
    </row>
    <row r="3" spans="1:7" ht="13.5" thickBot="1" x14ac:dyDescent="0.25">
      <c r="A3" s="651" t="s">
        <v>363</v>
      </c>
      <c r="B3" s="550">
        <f>výchozí_rok</f>
        <v>2012</v>
      </c>
      <c r="C3" s="551">
        <f>výchozí_rok+1</f>
        <v>2013</v>
      </c>
      <c r="D3" s="551">
        <f>výchozí_rok+2</f>
        <v>2014</v>
      </c>
      <c r="E3" s="551">
        <f>výchozí_rok+3</f>
        <v>2015</v>
      </c>
      <c r="F3" s="626">
        <f>výchozí_rok+4</f>
        <v>2016</v>
      </c>
    </row>
    <row r="4" spans="1:7" ht="21" customHeight="1" x14ac:dyDescent="0.2">
      <c r="A4" s="655" t="s">
        <v>129</v>
      </c>
      <c r="B4" s="656"/>
      <c r="C4" s="657"/>
      <c r="D4" s="657"/>
      <c r="E4" s="657"/>
      <c r="F4" s="658"/>
    </row>
    <row r="5" spans="1:7" ht="15" customHeight="1" x14ac:dyDescent="0.2">
      <c r="A5" s="81" t="s">
        <v>130</v>
      </c>
      <c r="B5" s="652">
        <f>'7 Rozvaha'!C23/'7 Rozvaha'!C$39</f>
        <v>6.5529423955787272E-2</v>
      </c>
      <c r="C5" s="653">
        <f>'7 Rozvaha'!D23/'7 Rozvaha'!D$39</f>
        <v>9.7804740768313914E-2</v>
      </c>
      <c r="D5" s="653">
        <f>'7 Rozvaha'!E23/'7 Rozvaha'!E$39</f>
        <v>0.13682609067367688</v>
      </c>
      <c r="E5" s="653">
        <f>'7 Rozvaha'!F23/'7 Rozvaha'!F$39</f>
        <v>0.18958573174998225</v>
      </c>
      <c r="F5" s="654">
        <f>'7 Rozvaha'!G23/'7 Rozvaha'!G$39</f>
        <v>0.21418744965134431</v>
      </c>
    </row>
    <row r="6" spans="1:7" ht="15" customHeight="1" x14ac:dyDescent="0.2">
      <c r="A6" s="81" t="s">
        <v>131</v>
      </c>
      <c r="B6" s="652">
        <f>('7 Rozvaha'!C23+'7 Rozvaha'!C22+'7 Rozvaha'!C20)/('7 Rozvaha'!C$39)</f>
        <v>0.30062348283558321</v>
      </c>
      <c r="C6" s="653">
        <f>('7 Rozvaha'!D23+'7 Rozvaha'!D22+'7 Rozvaha'!D20)/('7 Rozvaha'!D$39)</f>
        <v>0.28775068211254412</v>
      </c>
      <c r="D6" s="653">
        <f>('7 Rozvaha'!E23+'7 Rozvaha'!E22+'7 Rozvaha'!E20)/('7 Rozvaha'!E$39)</f>
        <v>0.33429363083584912</v>
      </c>
      <c r="E6" s="653">
        <f>('7 Rozvaha'!F23+'7 Rozvaha'!F22+'7 Rozvaha'!F20)/('7 Rozvaha'!F$39)</f>
        <v>0.39667116021322096</v>
      </c>
      <c r="F6" s="654">
        <f>('7 Rozvaha'!G23+'7 Rozvaha'!G22+'7 Rozvaha'!G20)/('7 Rozvaha'!G$39)</f>
        <v>0.46340345990222104</v>
      </c>
    </row>
    <row r="7" spans="1:7" ht="15" customHeight="1" thickBot="1" x14ac:dyDescent="0.25">
      <c r="A7" s="139" t="s">
        <v>132</v>
      </c>
      <c r="B7" s="668">
        <f>'7 Rozvaha'!C14/('7 Rozvaha'!C$39)</f>
        <v>0.87850636093102374</v>
      </c>
      <c r="C7" s="669">
        <f>'7 Rozvaha'!D14/('7 Rozvaha'!D$39)</f>
        <v>0.87363583939343625</v>
      </c>
      <c r="D7" s="669">
        <f>'7 Rozvaha'!E14/('7 Rozvaha'!E$39)</f>
        <v>0.92033970941658816</v>
      </c>
      <c r="E7" s="669">
        <f>'7 Rozvaha'!F14/('7 Rozvaha'!F$39)</f>
        <v>1.0191250820322193</v>
      </c>
      <c r="F7" s="670">
        <f>'7 Rozvaha'!G14/('7 Rozvaha'!G$39)</f>
        <v>1.0799228826160057</v>
      </c>
    </row>
    <row r="8" spans="1:7" ht="21" customHeight="1" x14ac:dyDescent="0.2">
      <c r="A8" s="655" t="s">
        <v>136</v>
      </c>
      <c r="B8" s="656"/>
      <c r="C8" s="657"/>
      <c r="D8" s="657"/>
      <c r="E8" s="657"/>
      <c r="F8" s="658"/>
    </row>
    <row r="9" spans="1:7" ht="15" customHeight="1" x14ac:dyDescent="0.2">
      <c r="A9" s="81" t="s">
        <v>148</v>
      </c>
      <c r="B9" s="659">
        <f>'7 Rozvaha'!C27/'7 Rozvaha'!C26</f>
        <v>0.48209117999237211</v>
      </c>
      <c r="C9" s="161">
        <f>'7 Rozvaha'!D27/'7 Rozvaha'!D26</f>
        <v>0.43072038882687919</v>
      </c>
      <c r="D9" s="161">
        <f>'7 Rozvaha'!E27/'7 Rozvaha'!E26</f>
        <v>0.42740159282753215</v>
      </c>
      <c r="E9" s="161">
        <f>'7 Rozvaha'!F27/'7 Rozvaha'!F26</f>
        <v>0.45931141186579111</v>
      </c>
      <c r="F9" s="660">
        <f>'7 Rozvaha'!G27/'7 Rozvaha'!G26</f>
        <v>0.46922338564429455</v>
      </c>
    </row>
    <row r="10" spans="1:7" ht="15" customHeight="1" x14ac:dyDescent="0.2">
      <c r="A10" s="81" t="s">
        <v>138</v>
      </c>
      <c r="B10" s="661">
        <f>('8 Výsledovka'!D27+'8 Výsledovka'!D25)/'8 Výsledovka'!D25</f>
        <v>2.3220348534766777</v>
      </c>
      <c r="C10" s="662">
        <f>('8 Výsledovka'!E27+'8 Výsledovka'!E25)/'8 Výsledovka'!E25</f>
        <v>2.5174014629488157</v>
      </c>
      <c r="D10" s="662">
        <f>('8 Výsledovka'!F27+'8 Výsledovka'!F25)/'8 Výsledovka'!F25</f>
        <v>1.7474600650962828</v>
      </c>
      <c r="E10" s="662">
        <f>('8 Výsledovka'!G27+'8 Výsledovka'!G25)/'8 Výsledovka'!G25</f>
        <v>4.2995923090000163</v>
      </c>
      <c r="F10" s="663">
        <f>('8 Výsledovka'!H27+'8 Výsledovka'!H25)/'8 Výsledovka'!H25</f>
        <v>7.0894065935272712</v>
      </c>
    </row>
    <row r="11" spans="1:7" ht="15" customHeight="1" thickBot="1" x14ac:dyDescent="0.25">
      <c r="A11" s="139" t="s">
        <v>139</v>
      </c>
      <c r="B11" s="98"/>
      <c r="C11" s="665">
        <f>('7 Rozvaha'!D35)/'9 Cash flow'!C16</f>
        <v>4.1649663963922761</v>
      </c>
      <c r="D11" s="665">
        <f>('7 Rozvaha'!E33-'7 Rozvaha'!E34)/'9 Cash flow'!D16</f>
        <v>7.1728240313123255</v>
      </c>
      <c r="E11" s="665">
        <f>('7 Rozvaha'!F33-'7 Rozvaha'!F34)/'9 Cash flow'!E16</f>
        <v>4.8151446421412949</v>
      </c>
      <c r="F11" s="666">
        <f>('7 Rozvaha'!G33-'7 Rozvaha'!G34)/'9 Cash flow'!F16</f>
        <v>4.4915126784722794</v>
      </c>
      <c r="G11" s="66"/>
    </row>
    <row r="12" spans="1:7" ht="21" customHeight="1" x14ac:dyDescent="0.2">
      <c r="A12" s="655" t="s">
        <v>126</v>
      </c>
      <c r="B12" s="656"/>
      <c r="C12" s="657"/>
      <c r="D12" s="657"/>
      <c r="E12" s="657"/>
      <c r="F12" s="658"/>
    </row>
    <row r="13" spans="1:7" ht="15" customHeight="1" x14ac:dyDescent="0.2">
      <c r="A13" s="81" t="s">
        <v>156</v>
      </c>
      <c r="B13" s="659">
        <f>('8 Výsledovka'!D27+'8 Výsledovka'!D25)/'7 Rozvaha'!C26</f>
        <v>9.9270119700641882E-2</v>
      </c>
      <c r="C13" s="161">
        <f>('8 Výsledovka'!E27+'8 Výsledovka'!E25)/'7 Rozvaha'!D26</f>
        <v>9.1541268444368204E-2</v>
      </c>
      <c r="D13" s="161">
        <f>('8 Výsledovka'!F27+'8 Výsledovka'!F25)/'7 Rozvaha'!E26</f>
        <v>5.7245607590500215E-2</v>
      </c>
      <c r="E13" s="161">
        <f>('8 Výsledovka'!G27+'8 Výsledovka'!G25)/'7 Rozvaha'!F26</f>
        <v>0.10074501730443303</v>
      </c>
      <c r="F13" s="660">
        <f>('8 Výsledovka'!H27+'8 Výsledovka'!H25)/'7 Rozvaha'!G26</f>
        <v>0.10220998436150835</v>
      </c>
    </row>
    <row r="14" spans="1:7" ht="15" customHeight="1" x14ac:dyDescent="0.2">
      <c r="A14" s="81" t="s">
        <v>127</v>
      </c>
      <c r="B14" s="659">
        <f>'8 Výsledovka'!D30/'7 Rozvaha'!C27</f>
        <v>9.4961714947273138E-2</v>
      </c>
      <c r="C14" s="161">
        <f>'8 Výsledovka'!E30/'7 Rozvaha'!D27</f>
        <v>0.103765870261899</v>
      </c>
      <c r="D14" s="161">
        <f>'8 Výsledovka'!F30/'7 Rozvaha'!E27</f>
        <v>4.6405748987378842E-2</v>
      </c>
      <c r="E14" s="161">
        <f>'8 Výsledovka'!G30/'7 Rozvaha'!F27</f>
        <v>0.13634347669153365</v>
      </c>
      <c r="F14" s="660">
        <f>'8 Výsledovka'!H30/'7 Rozvaha'!G27</f>
        <v>0.15155273567513539</v>
      </c>
    </row>
    <row r="15" spans="1:7" ht="15" customHeight="1" x14ac:dyDescent="0.2">
      <c r="A15" s="81" t="s">
        <v>128</v>
      </c>
      <c r="B15" s="659">
        <f>'8 Výsledovka'!D30/'8 Výsledovka'!D5</f>
        <v>1.7160328363559064E-2</v>
      </c>
      <c r="C15" s="161">
        <f>'8 Výsledovka'!E30/'8 Výsledovka'!E5</f>
        <v>1.6389976257520103E-2</v>
      </c>
      <c r="D15" s="161">
        <f>'8 Výsledovka'!F30/'8 Výsledovka'!F5</f>
        <v>7.0962629045818884E-3</v>
      </c>
      <c r="E15" s="161">
        <f>'8 Výsledovka'!G30/'8 Výsledovka'!G5</f>
        <v>2.2101315064019824E-2</v>
      </c>
      <c r="F15" s="660">
        <f>'8 Výsledovka'!H30/'8 Výsledovka'!H5</f>
        <v>2.5289066819962597E-2</v>
      </c>
    </row>
    <row r="16" spans="1:7" ht="15" customHeight="1" x14ac:dyDescent="0.2">
      <c r="A16" s="81" t="s">
        <v>144</v>
      </c>
      <c r="B16" s="659">
        <f>'8 Výsledovka'!D22/'8 Výsledovka'!D5</f>
        <v>3.7065596296496986E-2</v>
      </c>
      <c r="C16" s="161">
        <f>'8 Výsledovka'!E22/'8 Výsledovka'!E5</f>
        <v>3.3463691261113912E-2</v>
      </c>
      <c r="D16" s="161">
        <f>'8 Výsledovka'!F22/'8 Výsledovka'!F5</f>
        <v>2.0321377055696112E-2</v>
      </c>
      <c r="E16" s="161">
        <f>'8 Výsledovka'!G22/'8 Výsledovka'!G5</f>
        <v>3.5401786751673631E-2</v>
      </c>
      <c r="F16" s="660">
        <f>'8 Výsledovka'!H22/'8 Výsledovka'!H5</f>
        <v>3.6212418939949136E-2</v>
      </c>
    </row>
    <row r="17" spans="1:7" ht="15" customHeight="1" thickBot="1" x14ac:dyDescent="0.25">
      <c r="A17" s="139" t="s">
        <v>147</v>
      </c>
      <c r="B17" s="98"/>
      <c r="C17" s="671">
        <f>'9 Cash flow'!C16/'8 Výsledovka'!E5</f>
        <v>4.4854035388328911E-2</v>
      </c>
      <c r="D17" s="671">
        <f>'9 Cash flow'!D16/'8 Výsledovka'!F5</f>
        <v>2.6354645383897989E-2</v>
      </c>
      <c r="E17" s="671">
        <f>'9 Cash flow'!E16/'8 Výsledovka'!G5</f>
        <v>3.7704232847670341E-2</v>
      </c>
      <c r="F17" s="672">
        <f>'9 Cash flow'!F16/'8 Výsledovka'!H5</f>
        <v>4.0184748386203853E-2</v>
      </c>
      <c r="G17" s="66"/>
    </row>
    <row r="18" spans="1:7" ht="21" customHeight="1" x14ac:dyDescent="0.2">
      <c r="A18" s="667" t="s">
        <v>133</v>
      </c>
      <c r="B18" s="133"/>
      <c r="C18" s="134"/>
      <c r="D18" s="134"/>
      <c r="E18" s="134"/>
      <c r="F18" s="135"/>
    </row>
    <row r="19" spans="1:7" ht="15" customHeight="1" x14ac:dyDescent="0.2">
      <c r="A19" s="81" t="s">
        <v>134</v>
      </c>
      <c r="B19" s="661">
        <f>'7 Rozvaha'!C15/('8 Výsledovka'!D7/365)</f>
        <v>32.680870649182985</v>
      </c>
      <c r="C19" s="662">
        <f>'7 Rozvaha'!D15/('8 Výsledovka'!E7/365)</f>
        <v>32.862711314499819</v>
      </c>
      <c r="D19" s="662">
        <f>'7 Rozvaha'!E15/('8 Výsledovka'!F7/365)</f>
        <v>31.759013509267987</v>
      </c>
      <c r="E19" s="662">
        <f>'7 Rozvaha'!F15/('8 Výsledovka'!G7/365)</f>
        <v>31.641659614653474</v>
      </c>
      <c r="F19" s="663">
        <f>'7 Rozvaha'!G15/('8 Výsledovka'!H7/365)</f>
        <v>30.136457853523723</v>
      </c>
    </row>
    <row r="20" spans="1:7" ht="15" customHeight="1" x14ac:dyDescent="0.2">
      <c r="A20" s="81" t="s">
        <v>135</v>
      </c>
      <c r="B20" s="661">
        <f>'7 Rozvaha'!C20/('8 Výsledovka'!D5/365)</f>
        <v>11.217490493240023</v>
      </c>
      <c r="C20" s="662">
        <f>'7 Rozvaha'!D20/('8 Výsledovka'!E5/365)</f>
        <v>9.2181127718698548</v>
      </c>
      <c r="D20" s="662">
        <f>'7 Rozvaha'!E20/('8 Výsledovka'!F5/365)</f>
        <v>9.2982816285928624</v>
      </c>
      <c r="E20" s="662">
        <f>'7 Rozvaha'!F20/('8 Výsledovka'!G5/365)</f>
        <v>9.0661486819062347</v>
      </c>
      <c r="F20" s="663">
        <f>'7 Rozvaha'!G20/('8 Výsledovka'!H5/365)</f>
        <v>10.5019129344736</v>
      </c>
    </row>
    <row r="21" spans="1:7" ht="15" customHeight="1" thickBot="1" x14ac:dyDescent="0.25">
      <c r="A21" s="139" t="s">
        <v>137</v>
      </c>
      <c r="B21" s="664">
        <f>'7 Rozvaha'!C41/('8 Výsledovka'!D6/365)</f>
        <v>24.292178383844554</v>
      </c>
      <c r="C21" s="665">
        <f>'7 Rozvaha'!D41/('8 Výsledovka'!E6/365)</f>
        <v>27.129247508545571</v>
      </c>
      <c r="D21" s="665">
        <f>'7 Rozvaha'!E41/('8 Výsledovka'!F6/365)</f>
        <v>27.077125206679817</v>
      </c>
      <c r="E21" s="665">
        <f>'7 Rozvaha'!F41/('8 Výsledovka'!G6/365)</f>
        <v>30.516450805552555</v>
      </c>
      <c r="F21" s="666">
        <f>'7 Rozvaha'!G41/('8 Výsledovka'!H6/365)</f>
        <v>29.473998937169878</v>
      </c>
    </row>
  </sheetData>
  <phoneticPr fontId="0" type="noConversion"/>
  <hyperlinks>
    <hyperlink ref="F1" location="Obsah!A1" display="Skok na obsah" xr:uid="{00000000-0004-0000-0E00-000000000000}"/>
  </hyperlinks>
  <pageMargins left="0.78740157480314965" right="0.78740157480314965"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4"/>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
  <cols>
    <col min="1" max="1" width="40.140625" customWidth="1"/>
    <col min="2" max="2" width="10.28515625" bestFit="1" customWidth="1"/>
  </cols>
  <sheetData>
    <row r="1" spans="1:6" ht="21" customHeight="1" thickBot="1" x14ac:dyDescent="0.25">
      <c r="A1" s="486" t="s">
        <v>613</v>
      </c>
      <c r="F1" s="926" t="s">
        <v>557</v>
      </c>
    </row>
    <row r="2" spans="1:6" ht="13.5" thickBot="1" x14ac:dyDescent="0.25">
      <c r="A2" s="651" t="s">
        <v>155</v>
      </c>
      <c r="B2" s="550">
        <f>výchozí_rok</f>
        <v>2012</v>
      </c>
      <c r="C2" s="551">
        <f>výchozí_rok+1</f>
        <v>2013</v>
      </c>
      <c r="D2" s="551">
        <f>výchozí_rok+2</f>
        <v>2014</v>
      </c>
      <c r="E2" s="551">
        <f>výchozí_rok+3</f>
        <v>2015</v>
      </c>
      <c r="F2" s="626">
        <f>výchozí_rok+4</f>
        <v>2016</v>
      </c>
    </row>
    <row r="3" spans="1:6" ht="21" customHeight="1" thickBot="1" x14ac:dyDescent="0.25">
      <c r="A3" s="547" t="s">
        <v>612</v>
      </c>
    </row>
    <row r="4" spans="1:6" ht="15" customHeight="1" x14ac:dyDescent="0.2">
      <c r="A4" s="111" t="s">
        <v>4</v>
      </c>
      <c r="B4" s="250">
        <f>'7 Rozvaha'!C6</f>
        <v>648</v>
      </c>
      <c r="C4" s="248">
        <f>'7 Rozvaha'!D6</f>
        <v>992</v>
      </c>
      <c r="D4" s="248">
        <f>'7 Rozvaha'!E6</f>
        <v>1702</v>
      </c>
      <c r="E4" s="248">
        <f>'7 Rozvaha'!F6</f>
        <v>1874</v>
      </c>
      <c r="F4" s="220">
        <f>'7 Rozvaha'!G6</f>
        <v>2164</v>
      </c>
    </row>
    <row r="5" spans="1:6" ht="15" customHeight="1" x14ac:dyDescent="0.2">
      <c r="A5" s="81" t="s">
        <v>6</v>
      </c>
      <c r="B5" s="82">
        <f>'7 Rozvaha'!C7</f>
        <v>370196</v>
      </c>
      <c r="C5" s="76">
        <f>'7 Rozvaha'!D7</f>
        <v>436702</v>
      </c>
      <c r="D5" s="76">
        <f>'7 Rozvaha'!E7</f>
        <v>431678</v>
      </c>
      <c r="E5" s="76">
        <f>'7 Rozvaha'!F7</f>
        <v>416608</v>
      </c>
      <c r="F5" s="83">
        <f>'7 Rozvaha'!G7</f>
        <v>450024</v>
      </c>
    </row>
    <row r="6" spans="1:6" ht="15" customHeight="1" thickBot="1" x14ac:dyDescent="0.25">
      <c r="A6" s="1031" t="s">
        <v>614</v>
      </c>
      <c r="B6" s="1032">
        <f>B4+B5</f>
        <v>370844</v>
      </c>
      <c r="C6" s="143">
        <f>C4+C5</f>
        <v>437694</v>
      </c>
      <c r="D6" s="143">
        <f>D4+D5</f>
        <v>433380</v>
      </c>
      <c r="E6" s="143">
        <f>E4+E5</f>
        <v>418482</v>
      </c>
      <c r="F6" s="1033">
        <f>F4+F5</f>
        <v>452188</v>
      </c>
    </row>
    <row r="7" spans="1:6" ht="15" customHeight="1" x14ac:dyDescent="0.2">
      <c r="A7" s="236" t="s">
        <v>17</v>
      </c>
      <c r="B7" s="1018">
        <f>'7 Rozvaha'!C15</f>
        <v>108746</v>
      </c>
      <c r="C7" s="1016">
        <f>'7 Rozvaha'!D15</f>
        <v>137642</v>
      </c>
      <c r="D7" s="1016">
        <f>'7 Rozvaha'!E15</f>
        <v>138478</v>
      </c>
      <c r="E7" s="1016">
        <f>'7 Rozvaha'!F15</f>
        <v>141368</v>
      </c>
      <c r="F7" s="1017">
        <f>'7 Rozvaha'!G15</f>
        <v>146268</v>
      </c>
    </row>
    <row r="8" spans="1:6" ht="15" customHeight="1" x14ac:dyDescent="0.2">
      <c r="A8" s="80" t="s">
        <v>181</v>
      </c>
      <c r="B8" s="1018">
        <f>'7 Rozvaha'!C20</f>
        <v>44240</v>
      </c>
      <c r="C8" s="1016">
        <f>'7 Rozvaha'!D20</f>
        <v>44624</v>
      </c>
      <c r="D8" s="1016">
        <f>'7 Rozvaha'!E20</f>
        <v>46660</v>
      </c>
      <c r="E8" s="1016">
        <f>'7 Rozvaha'!F20</f>
        <v>47032</v>
      </c>
      <c r="F8" s="1017">
        <f>'7 Rozvaha'!G20</f>
        <v>59126</v>
      </c>
    </row>
    <row r="9" spans="1:6" ht="15" customHeight="1" x14ac:dyDescent="0.2">
      <c r="A9" s="80" t="s">
        <v>615</v>
      </c>
      <c r="B9" s="1018">
        <f>'7 Rozvaha'!C24</f>
        <v>2150</v>
      </c>
      <c r="C9" s="1016">
        <f>'7 Rozvaha'!D24</f>
        <v>3748</v>
      </c>
      <c r="D9" s="1016">
        <f>'7 Rozvaha'!E24</f>
        <v>3202</v>
      </c>
      <c r="E9" s="1016">
        <f>'7 Rozvaha'!F24</f>
        <v>9038</v>
      </c>
      <c r="F9" s="1017">
        <f>'7 Rozvaha'!G24</f>
        <v>13886</v>
      </c>
    </row>
    <row r="10" spans="1:6" ht="15" customHeight="1" x14ac:dyDescent="0.2">
      <c r="A10" s="80" t="s">
        <v>751</v>
      </c>
      <c r="B10" s="1018">
        <f>'7 Rozvaha'!C39-'7 Rozvaha'!C40</f>
        <v>118534</v>
      </c>
      <c r="C10" s="1016">
        <f>'7 Rozvaha'!D39-'7 Rozvaha'!D40</f>
        <v>167874</v>
      </c>
      <c r="D10" s="1016">
        <f>'7 Rozvaha'!E39-'7 Rozvaha'!E40</f>
        <v>179620</v>
      </c>
      <c r="E10" s="1016">
        <f>'7 Rozvaha'!F39-'7 Rozvaha'!F40</f>
        <v>193110</v>
      </c>
      <c r="F10" s="1017">
        <f>'7 Rozvaha'!G39-'7 Rozvaha'!G40</f>
        <v>200754</v>
      </c>
    </row>
    <row r="11" spans="1:6" ht="15" customHeight="1" x14ac:dyDescent="0.2">
      <c r="A11" s="80" t="s">
        <v>616</v>
      </c>
      <c r="B11" s="1018">
        <f>'7 Rozvaha'!C46</f>
        <v>30044</v>
      </c>
      <c r="C11" s="1016">
        <f>'7 Rozvaha'!D46</f>
        <v>34970</v>
      </c>
      <c r="D11" s="1016">
        <f>'7 Rozvaha'!E46</f>
        <v>19580</v>
      </c>
      <c r="E11" s="1016">
        <f>'7 Rozvaha'!F46</f>
        <v>13574</v>
      </c>
      <c r="F11" s="1017">
        <f>'7 Rozvaha'!G46</f>
        <v>11916</v>
      </c>
    </row>
    <row r="12" spans="1:6" ht="15" customHeight="1" x14ac:dyDescent="0.2">
      <c r="A12" s="112" t="s">
        <v>752</v>
      </c>
      <c r="B12" s="755">
        <f>'7 Rozvaha'!C23</f>
        <v>12331.327000000048</v>
      </c>
      <c r="C12" s="745">
        <f>'7 Rozvaha'!D23</f>
        <v>22977.267748699989</v>
      </c>
      <c r="D12" s="745">
        <f>'7 Rozvaha'!E23</f>
        <v>32330.910617464455</v>
      </c>
      <c r="E12" s="745">
        <f>'7 Rozvaha'!F23</f>
        <v>43057.57388066547</v>
      </c>
      <c r="F12" s="749">
        <f>'7 Rozvaha'!G23</f>
        <v>50815.544054882135</v>
      </c>
    </row>
    <row r="13" spans="1:6" ht="15" customHeight="1" x14ac:dyDescent="0.2">
      <c r="A13" s="1068" t="s">
        <v>753</v>
      </c>
      <c r="B13" s="1034">
        <f>B12/B10</f>
        <v>0.10403198238480139</v>
      </c>
      <c r="C13" s="644">
        <f>C12/C10</f>
        <v>0.13687210496384186</v>
      </c>
      <c r="D13" s="644">
        <f>D12/D10</f>
        <v>0.17999616199456883</v>
      </c>
      <c r="E13" s="644">
        <f>E12/E10</f>
        <v>0.22296915685705282</v>
      </c>
      <c r="F13" s="1035">
        <f>F12/F10</f>
        <v>0.25312344488718597</v>
      </c>
    </row>
    <row r="14" spans="1:6" ht="15" customHeight="1" x14ac:dyDescent="0.2">
      <c r="A14" s="172" t="s">
        <v>463</v>
      </c>
      <c r="B14" s="1034">
        <f>IF(B13&gt;0.15,0.15,B13)</f>
        <v>0.10403198238480139</v>
      </c>
      <c r="C14" s="644">
        <f>IF(C13&gt;0.15,0.15,C13)</f>
        <v>0.13687210496384186</v>
      </c>
      <c r="D14" s="644">
        <f>IF(D13&gt;0.15,0.15,D13)</f>
        <v>0.15</v>
      </c>
      <c r="E14" s="644">
        <f>IF(E13&gt;0.15,0.15,E13)</f>
        <v>0.15</v>
      </c>
      <c r="F14" s="1035">
        <f>IF(F13&gt;0.15,0.15,F13)</f>
        <v>0.15</v>
      </c>
    </row>
    <row r="15" spans="1:6" ht="15" customHeight="1" thickBot="1" x14ac:dyDescent="0.25">
      <c r="A15" s="75" t="s">
        <v>183</v>
      </c>
      <c r="B15" s="515">
        <f>B14*B10</f>
        <v>12331.327000000048</v>
      </c>
      <c r="C15" s="496">
        <f>C14*C10</f>
        <v>22977.267748699989</v>
      </c>
      <c r="D15" s="496">
        <f>D14*D10</f>
        <v>26943</v>
      </c>
      <c r="E15" s="496">
        <f>E14*E10</f>
        <v>28966.5</v>
      </c>
      <c r="F15" s="833">
        <f>F14*F10</f>
        <v>30113.1</v>
      </c>
    </row>
    <row r="16" spans="1:6" ht="14.25" customHeight="1" thickBot="1" x14ac:dyDescent="0.25">
      <c r="A16" s="1036" t="s">
        <v>617</v>
      </c>
      <c r="B16" s="1037">
        <f>B7+B8+B9-B10-B11+B15</f>
        <v>18889.327000000048</v>
      </c>
      <c r="C16" s="1038">
        <f>C7+C8+C9-C10-C11+C15</f>
        <v>6147.2677486999892</v>
      </c>
      <c r="D16" s="1038">
        <f>D7+D8+D9-D10-D11+D15</f>
        <v>16083</v>
      </c>
      <c r="E16" s="1038">
        <f>E7+E8+E9-E10-E11+E15</f>
        <v>19720.5</v>
      </c>
      <c r="F16" s="1039">
        <f>F7+F8+F9-F10-F11+F15</f>
        <v>36723.1</v>
      </c>
    </row>
    <row r="17" spans="1:6" ht="14.25" customHeight="1" thickBot="1" x14ac:dyDescent="0.25">
      <c r="A17" s="1040" t="s">
        <v>612</v>
      </c>
      <c r="B17" s="1041">
        <f>B6+B16</f>
        <v>389733.32700000005</v>
      </c>
      <c r="C17" s="1042">
        <f>C6+C16</f>
        <v>443841.26774869999</v>
      </c>
      <c r="D17" s="1042">
        <f>D6+D16</f>
        <v>449463</v>
      </c>
      <c r="E17" s="1042">
        <f>E6+E16</f>
        <v>438202.5</v>
      </c>
      <c r="F17" s="1043">
        <f>F6+F16</f>
        <v>488911.1</v>
      </c>
    </row>
    <row r="18" spans="1:6" ht="14.25" customHeight="1" x14ac:dyDescent="0.2">
      <c r="A18" s="1"/>
      <c r="B18" s="12"/>
      <c r="C18" s="12"/>
      <c r="D18" s="12"/>
      <c r="E18" s="12"/>
      <c r="F18" s="12"/>
    </row>
    <row r="19" spans="1:6" ht="21" customHeight="1" thickBot="1" x14ac:dyDescent="0.25">
      <c r="A19" s="547" t="s">
        <v>756</v>
      </c>
    </row>
    <row r="20" spans="1:6" ht="15" customHeight="1" x14ac:dyDescent="0.2">
      <c r="A20" s="111" t="s">
        <v>677</v>
      </c>
      <c r="B20" s="250">
        <f>'8 Výsledovka'!D22</f>
        <v>53356</v>
      </c>
      <c r="C20" s="248">
        <f>'8 Výsledovka'!E22</f>
        <v>59128</v>
      </c>
      <c r="D20" s="248">
        <f>'8 Výsledovka'!F22</f>
        <v>37221</v>
      </c>
      <c r="E20" s="248">
        <f>'8 Výsledovka'!G22</f>
        <v>67033</v>
      </c>
      <c r="F20" s="220">
        <f>'8 Výsledovka'!H22</f>
        <v>74415</v>
      </c>
    </row>
    <row r="21" spans="1:6" ht="15" customHeight="1" x14ac:dyDescent="0.2">
      <c r="A21" s="744" t="s">
        <v>618</v>
      </c>
      <c r="B21" s="755">
        <f>-('8 Výsledovka'!D15-'8 Výsledovka'!D18)</f>
        <v>0</v>
      </c>
      <c r="C21" s="745">
        <f>-('8 Výsledovka'!E15-'8 Výsledovka'!E18)</f>
        <v>0</v>
      </c>
      <c r="D21" s="745">
        <f>-('8 Výsledovka'!F15-'8 Výsledovka'!F18)</f>
        <v>0</v>
      </c>
      <c r="E21" s="745">
        <f>-('8 Výsledovka'!G15-'8 Výsledovka'!G18)</f>
        <v>-8714</v>
      </c>
      <c r="F21" s="749">
        <f>-('8 Výsledovka'!H15-'8 Výsledovka'!H18)</f>
        <v>0</v>
      </c>
    </row>
    <row r="22" spans="1:6" ht="15" customHeight="1" x14ac:dyDescent="0.2">
      <c r="A22" s="1068" t="s">
        <v>755</v>
      </c>
      <c r="B22" s="514">
        <f>-'8 Výsledovka'!D16</f>
        <v>-733</v>
      </c>
      <c r="C22" s="495">
        <f>-'8 Výsledovka'!E16</f>
        <v>-548</v>
      </c>
      <c r="D22" s="495">
        <f>-'8 Výsledovka'!F16</f>
        <v>-406</v>
      </c>
      <c r="E22" s="495">
        <f>-'8 Výsledovka'!G16</f>
        <v>-102</v>
      </c>
      <c r="F22" s="746">
        <f>-'8 Výsledovka'!H16</f>
        <v>-2833</v>
      </c>
    </row>
    <row r="23" spans="1:6" ht="15" customHeight="1" thickBot="1" x14ac:dyDescent="0.25">
      <c r="A23" s="1174" t="s">
        <v>754</v>
      </c>
      <c r="B23" s="515">
        <f>'8 Výsledovka'!D21</f>
        <v>95</v>
      </c>
      <c r="C23" s="496">
        <f>'8 Výsledovka'!E21</f>
        <v>745</v>
      </c>
      <c r="D23" s="496">
        <f>'8 Výsledovka'!F21</f>
        <v>8470</v>
      </c>
      <c r="E23" s="496">
        <f>'8 Výsledovka'!G21</f>
        <v>4250</v>
      </c>
      <c r="F23" s="833">
        <f>'8 Výsledovka'!H21</f>
        <v>380</v>
      </c>
    </row>
    <row r="24" spans="1:6" ht="15" customHeight="1" thickBot="1" x14ac:dyDescent="0.25">
      <c r="A24" s="1040" t="s">
        <v>333</v>
      </c>
      <c r="B24" s="1041">
        <f>SUM(B20:B23)</f>
        <v>52718</v>
      </c>
      <c r="C24" s="1042">
        <f>SUM(C20:C23)</f>
        <v>59325</v>
      </c>
      <c r="D24" s="1042">
        <f>SUM(D20:D23)</f>
        <v>45285</v>
      </c>
      <c r="E24" s="1042">
        <f>SUM(E20:E23)</f>
        <v>62467</v>
      </c>
      <c r="F24" s="1043">
        <f>SUM(F20:F23)</f>
        <v>71962</v>
      </c>
    </row>
  </sheetData>
  <phoneticPr fontId="0" type="noConversion"/>
  <hyperlinks>
    <hyperlink ref="F1" location="Obsah!A1" display="Skok na obsah" xr:uid="{00000000-0004-0000-0F00-000000000000}"/>
  </hyperlinks>
  <pageMargins left="0.78740157480314965" right="0.78740157480314965"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204"/>
  <sheetViews>
    <sheetView workbookViewId="0"/>
  </sheetViews>
  <sheetFormatPr defaultRowHeight="12.75" x14ac:dyDescent="0.2"/>
  <cols>
    <col min="1" max="1" width="47.7109375" customWidth="1"/>
    <col min="2" max="10" width="10.42578125" customWidth="1"/>
    <col min="12" max="12" width="14.42578125" bestFit="1" customWidth="1"/>
  </cols>
  <sheetData>
    <row r="1" spans="1:11" ht="21" customHeight="1" x14ac:dyDescent="0.2">
      <c r="A1" s="486" t="s">
        <v>461</v>
      </c>
      <c r="J1" s="926" t="s">
        <v>557</v>
      </c>
    </row>
    <row r="2" spans="1:11" ht="12.75" customHeight="1" x14ac:dyDescent="0.2">
      <c r="A2" s="486"/>
    </row>
    <row r="3" spans="1:11" ht="16.5" thickBot="1" x14ac:dyDescent="0.3">
      <c r="A3" s="673" t="s">
        <v>166</v>
      </c>
    </row>
    <row r="4" spans="1:11" ht="13.5" thickBot="1" x14ac:dyDescent="0.25">
      <c r="A4" s="700"/>
      <c r="B4" s="550">
        <f>výchozí_rok</f>
        <v>2012</v>
      </c>
      <c r="C4" s="551">
        <f>B4+1</f>
        <v>2013</v>
      </c>
      <c r="D4" s="551">
        <f t="shared" ref="D4:K4" si="0">C4+1</f>
        <v>2014</v>
      </c>
      <c r="E4" s="551">
        <f t="shared" si="0"/>
        <v>2015</v>
      </c>
      <c r="F4" s="626">
        <f t="shared" si="0"/>
        <v>2016</v>
      </c>
      <c r="G4" s="550">
        <f t="shared" si="0"/>
        <v>2017</v>
      </c>
      <c r="H4" s="551">
        <f t="shared" si="0"/>
        <v>2018</v>
      </c>
      <c r="I4" s="551">
        <f t="shared" si="0"/>
        <v>2019</v>
      </c>
      <c r="J4" s="551">
        <f t="shared" si="0"/>
        <v>2020</v>
      </c>
      <c r="K4" s="626">
        <f t="shared" si="0"/>
        <v>2021</v>
      </c>
    </row>
    <row r="5" spans="1:11" x14ac:dyDescent="0.2">
      <c r="A5" s="111" t="s">
        <v>294</v>
      </c>
      <c r="B5" s="702"/>
      <c r="C5" s="703">
        <f>C7/B7-1</f>
        <v>0.22745921853529905</v>
      </c>
      <c r="D5" s="703">
        <f>D7/C7-1</f>
        <v>3.6610392035903994E-2</v>
      </c>
      <c r="E5" s="703">
        <f>E7/D7-1</f>
        <v>3.3781061334841711E-2</v>
      </c>
      <c r="F5" s="704">
        <f>F7/E7-1</f>
        <v>8.5274191810686295E-2</v>
      </c>
      <c r="G5" s="705">
        <f>'6 Tržby UNIPO'!E16</f>
        <v>9.0999999999999998E-2</v>
      </c>
      <c r="H5" s="706">
        <f>'6 Tržby UNIPO'!E17</f>
        <v>8.3000000000000004E-2</v>
      </c>
      <c r="I5" s="706">
        <f>'6 Tržby UNIPO'!E18</f>
        <v>5.6000000000000001E-2</v>
      </c>
      <c r="J5" s="706">
        <f>'6 Tržby UNIPO'!E19</f>
        <v>4.4999999999999998E-2</v>
      </c>
      <c r="K5" s="707">
        <f>'6 Tržby UNIPO'!E20</f>
        <v>3.4000000000000002E-2</v>
      </c>
    </row>
    <row r="6" spans="1:11" x14ac:dyDescent="0.2">
      <c r="A6" s="81" t="s">
        <v>295</v>
      </c>
      <c r="B6" s="242"/>
      <c r="C6" s="1542">
        <f>(F7/B7)^(1/4)-1</f>
        <v>9.3069230780862711E-2</v>
      </c>
      <c r="D6" s="1528"/>
      <c r="E6" s="1528"/>
      <c r="F6" s="1529"/>
      <c r="G6" s="1548">
        <f>(K7/F7)^(1/5)-1</f>
        <v>6.1575265321873074E-2</v>
      </c>
      <c r="H6" s="1549"/>
      <c r="I6" s="1549"/>
      <c r="J6" s="1549"/>
      <c r="K6" s="1549"/>
    </row>
    <row r="7" spans="1:11" ht="13.5" thickBot="1" x14ac:dyDescent="0.25">
      <c r="A7" s="75" t="s">
        <v>165</v>
      </c>
      <c r="B7" s="246">
        <f>'8 Výsledovka'!D5</f>
        <v>1439502</v>
      </c>
      <c r="C7" s="99">
        <f>'8 Výsledovka'!E5</f>
        <v>1766930</v>
      </c>
      <c r="D7" s="99">
        <f>'8 Výsledovka'!F5</f>
        <v>1831618</v>
      </c>
      <c r="E7" s="99">
        <f>'8 Výsledovka'!G5</f>
        <v>1893492</v>
      </c>
      <c r="F7" s="100">
        <f>'8 Výsledovka'!H5</f>
        <v>2054958</v>
      </c>
      <c r="G7" s="675">
        <f>(1+G5)*F7</f>
        <v>2241959.1779999998</v>
      </c>
      <c r="H7" s="676">
        <f>(1+H5)*G7</f>
        <v>2428041.7897739997</v>
      </c>
      <c r="I7" s="676">
        <f>(1+I5)*H7</f>
        <v>2564012.1300013438</v>
      </c>
      <c r="J7" s="676">
        <f>(1+J5)*I7</f>
        <v>2679392.6758514042</v>
      </c>
      <c r="K7" s="677">
        <f>(1+K5)*J7</f>
        <v>2770492.0268303519</v>
      </c>
    </row>
    <row r="8" spans="1:11" ht="24" customHeight="1" x14ac:dyDescent="0.2"/>
    <row r="9" spans="1:11" ht="16.5" thickBot="1" x14ac:dyDescent="0.3">
      <c r="A9" s="673" t="s">
        <v>631</v>
      </c>
    </row>
    <row r="10" spans="1:11" ht="13.5" thickBot="1" x14ac:dyDescent="0.25">
      <c r="A10" s="701"/>
      <c r="B10" s="550">
        <f t="shared" ref="B10:K10" si="1">B4</f>
        <v>2012</v>
      </c>
      <c r="C10" s="551">
        <f t="shared" si="1"/>
        <v>2013</v>
      </c>
      <c r="D10" s="551">
        <f t="shared" si="1"/>
        <v>2014</v>
      </c>
      <c r="E10" s="551">
        <f t="shared" si="1"/>
        <v>2015</v>
      </c>
      <c r="F10" s="626">
        <f t="shared" si="1"/>
        <v>2016</v>
      </c>
      <c r="G10" s="550">
        <f t="shared" si="1"/>
        <v>2017</v>
      </c>
      <c r="H10" s="551">
        <f t="shared" si="1"/>
        <v>2018</v>
      </c>
      <c r="I10" s="551">
        <f t="shared" si="1"/>
        <v>2019</v>
      </c>
      <c r="J10" s="551">
        <f t="shared" si="1"/>
        <v>2020</v>
      </c>
      <c r="K10" s="626">
        <f t="shared" si="1"/>
        <v>2021</v>
      </c>
    </row>
    <row r="11" spans="1:11" x14ac:dyDescent="0.2">
      <c r="A11" s="236" t="s">
        <v>757</v>
      </c>
      <c r="B11" s="247">
        <f>'15 Rozdělení majektu'!B24+'8 Výsledovka'!D13</f>
        <v>77010</v>
      </c>
      <c r="C11" s="248">
        <f>'15 Rozdělení majektu'!C24+'8 Výsledovka'!E13</f>
        <v>82421</v>
      </c>
      <c r="D11" s="248">
        <f>'15 Rozdělení majektu'!D24+'8 Výsledovka'!F13</f>
        <v>80925</v>
      </c>
      <c r="E11" s="248">
        <f>'15 Rozdělení majektu'!E24+'8 Výsledovka'!G13</f>
        <v>107777</v>
      </c>
      <c r="F11" s="249">
        <f>'15 Rozdělení majektu'!F24+'8 Výsledovka'!H13</f>
        <v>117334</v>
      </c>
      <c r="G11" s="678">
        <f>G17*G7</f>
        <v>128015.86906379998</v>
      </c>
      <c r="H11" s="679">
        <f>H17*H7</f>
        <v>140826.42380689198</v>
      </c>
      <c r="I11" s="679">
        <f>I17*I7</f>
        <v>148712.70354007796</v>
      </c>
      <c r="J11" s="679">
        <f>J17*J7</f>
        <v>155404.77519938146</v>
      </c>
      <c r="K11" s="680">
        <f>K17*K7</f>
        <v>160688.53755616042</v>
      </c>
    </row>
    <row r="12" spans="1:11" ht="13.5" thickBot="1" x14ac:dyDescent="0.25">
      <c r="A12" s="75" t="s">
        <v>295</v>
      </c>
      <c r="B12" s="251"/>
      <c r="C12" s="1530">
        <f>(F11/B11)^(1/4)-1</f>
        <v>0.11101312169599931</v>
      </c>
      <c r="D12" s="1531"/>
      <c r="E12" s="1531"/>
      <c r="F12" s="1539"/>
      <c r="G12" s="1550">
        <f>(K11/F11)^(1/5)-1</f>
        <v>6.4908281345976482E-2</v>
      </c>
      <c r="H12" s="1551"/>
      <c r="I12" s="1551"/>
      <c r="J12" s="1551"/>
      <c r="K12" s="1552"/>
    </row>
    <row r="13" spans="1:11" ht="15.75" customHeight="1" x14ac:dyDescent="0.2"/>
    <row r="14" spans="1:11" x14ac:dyDescent="0.2">
      <c r="A14" s="674"/>
    </row>
    <row r="15" spans="1:11" ht="18" customHeight="1" thickBot="1" x14ac:dyDescent="0.25">
      <c r="A15" s="674" t="s">
        <v>604</v>
      </c>
    </row>
    <row r="16" spans="1:11" ht="18" customHeight="1" thickBot="1" x14ac:dyDescent="0.25">
      <c r="A16" s="1059" t="s">
        <v>630</v>
      </c>
      <c r="B16" s="550">
        <f>B10</f>
        <v>2012</v>
      </c>
      <c r="C16" s="551">
        <f t="shared" ref="C16:K16" si="2">C10</f>
        <v>2013</v>
      </c>
      <c r="D16" s="551">
        <f t="shared" si="2"/>
        <v>2014</v>
      </c>
      <c r="E16" s="551">
        <f t="shared" si="2"/>
        <v>2015</v>
      </c>
      <c r="F16" s="626">
        <f t="shared" si="2"/>
        <v>2016</v>
      </c>
      <c r="G16" s="550">
        <f t="shared" si="2"/>
        <v>2017</v>
      </c>
      <c r="H16" s="551">
        <f t="shared" si="2"/>
        <v>2018</v>
      </c>
      <c r="I16" s="551">
        <f t="shared" si="2"/>
        <v>2019</v>
      </c>
      <c r="J16" s="551">
        <f t="shared" si="2"/>
        <v>2020</v>
      </c>
      <c r="K16" s="626">
        <f t="shared" si="2"/>
        <v>2021</v>
      </c>
    </row>
    <row r="17" spans="1:16" s="1" customFormat="1" ht="13.5" thickBot="1" x14ac:dyDescent="0.25">
      <c r="A17" s="33" t="s">
        <v>758</v>
      </c>
      <c r="B17" s="110">
        <f>B11/'8 Výsledovka'!D$5</f>
        <v>5.3497667943497126E-2</v>
      </c>
      <c r="C17" s="101">
        <f>C11/'8 Výsledovka'!E$5</f>
        <v>4.664644326600375E-2</v>
      </c>
      <c r="D17" s="101">
        <f>D11/'8 Výsledovka'!F$5</f>
        <v>4.4182247608398693E-2</v>
      </c>
      <c r="E17" s="101">
        <f>E11/'8 Výsledovka'!G$5</f>
        <v>5.6919701799637915E-2</v>
      </c>
      <c r="F17" s="128">
        <f>F11/'8 Výsledovka'!H$5</f>
        <v>5.7098003949472446E-2</v>
      </c>
      <c r="G17" s="681">
        <v>5.7099999999999998E-2</v>
      </c>
      <c r="H17" s="682">
        <v>5.8000000000000003E-2</v>
      </c>
      <c r="I17" s="682">
        <v>5.8000000000000003E-2</v>
      </c>
      <c r="J17" s="682">
        <v>5.8000000000000003E-2</v>
      </c>
      <c r="K17" s="683">
        <v>5.8000000000000003E-2</v>
      </c>
    </row>
    <row r="18" spans="1:16" s="1" customFormat="1" x14ac:dyDescent="0.2">
      <c r="A18" s="65"/>
      <c r="B18" s="68"/>
      <c r="C18" s="68"/>
      <c r="D18" s="68"/>
      <c r="E18" s="68"/>
      <c r="F18" s="68"/>
      <c r="G18" s="1023"/>
      <c r="H18" s="1023"/>
      <c r="I18" s="1023"/>
      <c r="J18" s="1023"/>
    </row>
    <row r="19" spans="1:16" s="1" customFormat="1" ht="16.5" customHeight="1" thickBot="1" x14ac:dyDescent="0.25">
      <c r="A19" s="674" t="s">
        <v>632</v>
      </c>
      <c r="B19" s="68"/>
      <c r="C19" s="68"/>
      <c r="D19" s="68"/>
      <c r="E19" s="68"/>
      <c r="F19" s="68"/>
    </row>
    <row r="20" spans="1:16" ht="18" customHeight="1" thickBot="1" x14ac:dyDescent="0.25">
      <c r="A20" s="1059" t="s">
        <v>630</v>
      </c>
      <c r="B20" s="550">
        <f>B10</f>
        <v>2012</v>
      </c>
      <c r="C20" s="551">
        <f t="shared" ref="C20:K20" si="3">C10</f>
        <v>2013</v>
      </c>
      <c r="D20" s="551">
        <f t="shared" si="3"/>
        <v>2014</v>
      </c>
      <c r="E20" s="551">
        <f t="shared" si="3"/>
        <v>2015</v>
      </c>
      <c r="F20" s="626">
        <f t="shared" si="3"/>
        <v>2016</v>
      </c>
      <c r="G20" s="550">
        <f t="shared" si="3"/>
        <v>2017</v>
      </c>
      <c r="H20" s="551">
        <f t="shared" si="3"/>
        <v>2018</v>
      </c>
      <c r="I20" s="551">
        <f t="shared" si="3"/>
        <v>2019</v>
      </c>
      <c r="J20" s="551">
        <f t="shared" si="3"/>
        <v>2020</v>
      </c>
      <c r="K20" s="626">
        <f t="shared" si="3"/>
        <v>2021</v>
      </c>
    </row>
    <row r="21" spans="1:16" x14ac:dyDescent="0.2">
      <c r="A21" s="236" t="s">
        <v>45</v>
      </c>
      <c r="B21" s="250">
        <f>'8 Výsledovka'!D7</f>
        <v>1214542</v>
      </c>
      <c r="C21" s="247">
        <f>'8 Výsledovka'!E7</f>
        <v>1528764</v>
      </c>
      <c r="D21" s="247">
        <f>'8 Výsledovka'!F7</f>
        <v>1591500</v>
      </c>
      <c r="E21" s="247">
        <f>'8 Výsledovka'!G7</f>
        <v>1630740</v>
      </c>
      <c r="F21" s="253">
        <f>'8 Výsledovka'!H7</f>
        <v>1771536</v>
      </c>
      <c r="G21" s="250">
        <f t="shared" ref="G21:J27" si="4">G$7*G30</f>
        <v>1932793.0073537999</v>
      </c>
      <c r="H21" s="247">
        <f t="shared" si="4"/>
        <v>2092972.0227851877</v>
      </c>
      <c r="I21" s="247">
        <f t="shared" si="4"/>
        <v>2210178.4560611583</v>
      </c>
      <c r="J21" s="247">
        <f t="shared" si="4"/>
        <v>2309636.4865839104</v>
      </c>
      <c r="K21" s="254">
        <f t="shared" ref="K21:K27" si="5">K$7*K30</f>
        <v>2388164.1271277633</v>
      </c>
    </row>
    <row r="22" spans="1:16" x14ac:dyDescent="0.2">
      <c r="A22" s="80" t="s">
        <v>710</v>
      </c>
      <c r="B22" s="82">
        <f>'8 Výsledovka'!D8</f>
        <v>29472</v>
      </c>
      <c r="C22" s="78">
        <f>'8 Výsledovka'!E8</f>
        <v>29061</v>
      </c>
      <c r="D22" s="78">
        <f>'8 Výsledovka'!F8</f>
        <v>25131</v>
      </c>
      <c r="E22" s="78">
        <f>'8 Výsledovka'!G8</f>
        <v>27811</v>
      </c>
      <c r="F22" s="90">
        <f>'8 Výsledovka'!H8</f>
        <v>31198</v>
      </c>
      <c r="G22" s="82">
        <f t="shared" si="4"/>
        <v>34077.779505599996</v>
      </c>
      <c r="H22" s="78">
        <f t="shared" si="4"/>
        <v>37149.039383542193</v>
      </c>
      <c r="I22" s="78">
        <f t="shared" si="4"/>
        <v>38460.181950020153</v>
      </c>
      <c r="J22" s="78">
        <f t="shared" si="4"/>
        <v>39655.011602600782</v>
      </c>
      <c r="K22" s="1214">
        <f t="shared" si="5"/>
        <v>41003.281997089209</v>
      </c>
    </row>
    <row r="23" spans="1:16" x14ac:dyDescent="0.2">
      <c r="A23" s="112" t="s">
        <v>48</v>
      </c>
      <c r="B23" s="514">
        <f>'8 Výsledovka'!D9</f>
        <v>113854</v>
      </c>
      <c r="C23" s="490">
        <f>'8 Výsledovka'!E9</f>
        <v>118548</v>
      </c>
      <c r="D23" s="490">
        <f>'8 Výsledovka'!F9</f>
        <v>123054</v>
      </c>
      <c r="E23" s="490">
        <f>'8 Výsledovka'!G9</f>
        <v>125664</v>
      </c>
      <c r="F23" s="12">
        <f>'8 Výsledovka'!H9</f>
        <v>129686</v>
      </c>
      <c r="G23" s="514">
        <f t="shared" si="4"/>
        <v>140482.91865566536</v>
      </c>
      <c r="H23" s="490">
        <f t="shared" si="4"/>
        <v>149957.76329328894</v>
      </c>
      <c r="I23" s="490">
        <f t="shared" si="4"/>
        <v>159124.60167671353</v>
      </c>
      <c r="J23" s="490">
        <f t="shared" si="4"/>
        <v>166821.08728733589</v>
      </c>
      <c r="K23" s="208">
        <f t="shared" si="5"/>
        <v>172493.0042551053</v>
      </c>
    </row>
    <row r="24" spans="1:16" s="69" customFormat="1" x14ac:dyDescent="0.2">
      <c r="A24" s="113" t="s">
        <v>177</v>
      </c>
      <c r="B24" s="514">
        <f>'8 Výsledovka'!D10</f>
        <v>84820</v>
      </c>
      <c r="C24" s="490">
        <f>'8 Výsledovka'!E10</f>
        <v>88386</v>
      </c>
      <c r="D24" s="490">
        <f>'8 Výsledovka'!F10</f>
        <v>91760</v>
      </c>
      <c r="E24" s="490">
        <f>'8 Výsledovka'!G10</f>
        <v>93648</v>
      </c>
      <c r="F24" s="12">
        <f>'8 Výsledovka'!H10</f>
        <v>96494</v>
      </c>
      <c r="G24" s="514">
        <f t="shared" si="4"/>
        <v>104061.42122641878</v>
      </c>
      <c r="H24" s="490">
        <f t="shared" si="4"/>
        <v>111079.82466169551</v>
      </c>
      <c r="I24" s="490">
        <f t="shared" si="4"/>
        <v>117870.07531608408</v>
      </c>
      <c r="J24" s="490">
        <f t="shared" si="4"/>
        <v>123571.17576839695</v>
      </c>
      <c r="K24" s="208">
        <f t="shared" si="5"/>
        <v>127772.59574452245</v>
      </c>
    </row>
    <row r="25" spans="1:16" s="69" customFormat="1" x14ac:dyDescent="0.2">
      <c r="A25" s="114" t="s">
        <v>178</v>
      </c>
      <c r="B25" s="150">
        <f>'8 Výsledovka'!D11</f>
        <v>29034</v>
      </c>
      <c r="C25" s="147">
        <f>'8 Výsledovka'!E11</f>
        <v>30162</v>
      </c>
      <c r="D25" s="147">
        <f>'8 Výsledovka'!F11</f>
        <v>31294</v>
      </c>
      <c r="E25" s="147">
        <f>'8 Výsledovka'!G11</f>
        <v>32016</v>
      </c>
      <c r="F25" s="469">
        <f>'8 Výsledovka'!H11</f>
        <v>33192</v>
      </c>
      <c r="G25" s="150">
        <f t="shared" si="4"/>
        <v>36421.49742924657</v>
      </c>
      <c r="H25" s="147">
        <f t="shared" si="4"/>
        <v>38877.938631593424</v>
      </c>
      <c r="I25" s="147">
        <f t="shared" si="4"/>
        <v>41254.526360629425</v>
      </c>
      <c r="J25" s="147">
        <f t="shared" si="4"/>
        <v>43249.911518938934</v>
      </c>
      <c r="K25" s="215">
        <f t="shared" si="5"/>
        <v>44720.408510582856</v>
      </c>
    </row>
    <row r="26" spans="1:16" x14ac:dyDescent="0.2">
      <c r="A26" s="56" t="s">
        <v>50</v>
      </c>
      <c r="B26" s="82">
        <f>'8 Výsledovka'!D19</f>
        <v>5230</v>
      </c>
      <c r="C26" s="78">
        <f>'8 Výsledovka'!E19</f>
        <v>4326</v>
      </c>
      <c r="D26" s="78">
        <f>'8 Výsledovka'!F19</f>
        <v>5404</v>
      </c>
      <c r="E26" s="78">
        <f>'8 Výsledovka'!G19</f>
        <v>6938</v>
      </c>
      <c r="F26" s="90">
        <f>'8 Výsledovka'!H19</f>
        <v>4110</v>
      </c>
      <c r="G26" s="82">
        <f t="shared" si="4"/>
        <v>6589.6034211345759</v>
      </c>
      <c r="H26" s="78">
        <f t="shared" si="4"/>
        <v>7136.5405050887448</v>
      </c>
      <c r="I26" s="78">
        <f t="shared" si="4"/>
        <v>7536.1867733737154</v>
      </c>
      <c r="J26" s="78">
        <f t="shared" si="4"/>
        <v>7875.3151781755323</v>
      </c>
      <c r="K26" s="1214">
        <f t="shared" si="5"/>
        <v>8143.0758942334996</v>
      </c>
    </row>
    <row r="27" spans="1:16" ht="13.5" thickBot="1" x14ac:dyDescent="0.25">
      <c r="A27" s="115" t="s">
        <v>325</v>
      </c>
      <c r="B27" s="515">
        <f>'8 Výsledovka'!D20</f>
        <v>-606</v>
      </c>
      <c r="C27" s="1215">
        <f>'8 Výsledovka'!E20</f>
        <v>3810</v>
      </c>
      <c r="D27" s="1215">
        <f>'8 Výsledovka'!F20</f>
        <v>5604</v>
      </c>
      <c r="E27" s="1215">
        <f>'8 Výsledovka'!G20</f>
        <v>-5438</v>
      </c>
      <c r="F27" s="14">
        <f>'8 Výsledovka'!H20</f>
        <v>1094</v>
      </c>
      <c r="G27" s="515">
        <f t="shared" si="4"/>
        <v>0</v>
      </c>
      <c r="H27" s="1215">
        <f t="shared" si="4"/>
        <v>0</v>
      </c>
      <c r="I27" s="1215">
        <f t="shared" si="4"/>
        <v>0</v>
      </c>
      <c r="J27" s="1215">
        <f t="shared" si="4"/>
        <v>0</v>
      </c>
      <c r="K27" s="73">
        <f t="shared" si="5"/>
        <v>0</v>
      </c>
      <c r="L27" s="257"/>
      <c r="M27" s="257"/>
      <c r="N27" s="257"/>
      <c r="O27" s="257"/>
      <c r="P27" s="257"/>
    </row>
    <row r="28" spans="1:16" s="1" customFormat="1" ht="12" customHeight="1" thickBot="1" x14ac:dyDescent="0.25">
      <c r="A28" s="674"/>
      <c r="B28" s="1477"/>
      <c r="C28" s="1477"/>
      <c r="D28" s="1477"/>
      <c r="E28" s="1477"/>
      <c r="F28" s="1477"/>
      <c r="G28" s="1374"/>
      <c r="H28" s="1374"/>
      <c r="I28" s="1374"/>
      <c r="J28" s="1374"/>
      <c r="K28" s="1374"/>
    </row>
    <row r="29" spans="1:16" ht="18" customHeight="1" thickBot="1" x14ac:dyDescent="0.25">
      <c r="A29" s="1059" t="s">
        <v>630</v>
      </c>
      <c r="B29" s="550">
        <f>B10</f>
        <v>2012</v>
      </c>
      <c r="C29" s="551">
        <f t="shared" ref="C29:K29" si="6">C10</f>
        <v>2013</v>
      </c>
      <c r="D29" s="551">
        <f t="shared" si="6"/>
        <v>2014</v>
      </c>
      <c r="E29" s="551">
        <f t="shared" si="6"/>
        <v>2015</v>
      </c>
      <c r="F29" s="626">
        <f t="shared" si="6"/>
        <v>2016</v>
      </c>
      <c r="G29" s="550">
        <f t="shared" si="6"/>
        <v>2017</v>
      </c>
      <c r="H29" s="551">
        <f t="shared" si="6"/>
        <v>2018</v>
      </c>
      <c r="I29" s="551">
        <f t="shared" si="6"/>
        <v>2019</v>
      </c>
      <c r="J29" s="551">
        <f t="shared" si="6"/>
        <v>2020</v>
      </c>
      <c r="K29" s="626">
        <f t="shared" si="6"/>
        <v>2021</v>
      </c>
    </row>
    <row r="30" spans="1:16" x14ac:dyDescent="0.2">
      <c r="A30" s="236" t="s">
        <v>45</v>
      </c>
      <c r="B30" s="122">
        <f t="shared" ref="B30:F36" si="7">B21/B$7</f>
        <v>0.84372373223517583</v>
      </c>
      <c r="C30" s="102">
        <f t="shared" si="7"/>
        <v>0.86520914807038196</v>
      </c>
      <c r="D30" s="102">
        <f t="shared" si="7"/>
        <v>0.86890388716424494</v>
      </c>
      <c r="E30" s="102">
        <f t="shared" si="7"/>
        <v>0.86123416417919907</v>
      </c>
      <c r="F30" s="116">
        <f t="shared" si="7"/>
        <v>0.86207893300009053</v>
      </c>
      <c r="G30" s="122">
        <v>0.86209999999999998</v>
      </c>
      <c r="H30" s="102">
        <v>0.86199999999999999</v>
      </c>
      <c r="I30" s="102">
        <v>0.86199999999999999</v>
      </c>
      <c r="J30" s="102">
        <v>0.86199999999999999</v>
      </c>
      <c r="K30" s="103">
        <v>0.86199999999999999</v>
      </c>
    </row>
    <row r="31" spans="1:16" x14ac:dyDescent="0.2">
      <c r="A31" s="80" t="s">
        <v>710</v>
      </c>
      <c r="B31" s="123">
        <f t="shared" si="7"/>
        <v>2.0473747170896603E-2</v>
      </c>
      <c r="C31" s="93">
        <f t="shared" si="7"/>
        <v>1.6447171082046262E-2</v>
      </c>
      <c r="D31" s="93">
        <f t="shared" si="7"/>
        <v>1.3720655726248596E-2</v>
      </c>
      <c r="E31" s="93">
        <f t="shared" si="7"/>
        <v>1.4687677581949119E-2</v>
      </c>
      <c r="F31" s="117">
        <f t="shared" si="7"/>
        <v>1.5181818801162846E-2</v>
      </c>
      <c r="G31" s="123">
        <v>1.52E-2</v>
      </c>
      <c r="H31" s="93">
        <v>1.5299999999999999E-2</v>
      </c>
      <c r="I31" s="93">
        <v>1.4999999999999999E-2</v>
      </c>
      <c r="J31" s="93">
        <v>1.4800000000000001E-2</v>
      </c>
      <c r="K31" s="104">
        <v>1.4800000000000001E-2</v>
      </c>
    </row>
    <row r="32" spans="1:16" x14ac:dyDescent="0.2">
      <c r="A32" s="112" t="s">
        <v>48</v>
      </c>
      <c r="B32" s="124">
        <f t="shared" si="7"/>
        <v>7.9092630645876141E-2</v>
      </c>
      <c r="C32" s="94">
        <f t="shared" si="7"/>
        <v>6.7092640908241977E-2</v>
      </c>
      <c r="D32" s="94">
        <f t="shared" si="7"/>
        <v>6.7183222702550421E-2</v>
      </c>
      <c r="E32" s="94">
        <f t="shared" si="7"/>
        <v>6.6366269305600439E-2</v>
      </c>
      <c r="F32" s="118">
        <f t="shared" si="7"/>
        <v>6.3108832394628014E-2</v>
      </c>
      <c r="G32" s="124">
        <f>1-G17-G30-G31-G35-G36</f>
        <v>6.2660783494277061E-2</v>
      </c>
      <c r="H32" s="94">
        <f>1-H17-H30-H31-H35-H36</f>
        <v>6.1760783494277049E-2</v>
      </c>
      <c r="I32" s="94">
        <f>1-I17-I30-I31-I35-I36</f>
        <v>6.2060783494277044E-2</v>
      </c>
      <c r="J32" s="94">
        <f>1-J17-J30-J31-J35-J36</f>
        <v>6.2260783494277036E-2</v>
      </c>
      <c r="K32" s="105">
        <f>1-K17-K30-K31-K35-K36</f>
        <v>6.2260783494277036E-2</v>
      </c>
    </row>
    <row r="33" spans="1:16" s="69" customFormat="1" x14ac:dyDescent="0.2">
      <c r="A33" s="113" t="s">
        <v>177</v>
      </c>
      <c r="B33" s="125">
        <f t="shared" si="7"/>
        <v>5.8923155369009557E-2</v>
      </c>
      <c r="C33" s="95">
        <f t="shared" si="7"/>
        <v>5.0022355158382055E-2</v>
      </c>
      <c r="D33" s="95">
        <f t="shared" si="7"/>
        <v>5.0097782397858066E-2</v>
      </c>
      <c r="E33" s="95">
        <f t="shared" si="7"/>
        <v>4.9457827125754951E-2</v>
      </c>
      <c r="F33" s="119">
        <f t="shared" si="7"/>
        <v>4.6956677460074613E-2</v>
      </c>
      <c r="G33" s="125">
        <f>G32/1.35</f>
        <v>4.6415395180945972E-2</v>
      </c>
      <c r="H33" s="95">
        <f>H32/1.35</f>
        <v>4.5748728514279295E-2</v>
      </c>
      <c r="I33" s="95">
        <f>I32/1.35</f>
        <v>4.5970950736501509E-2</v>
      </c>
      <c r="J33" s="95">
        <f>J32/1.35</f>
        <v>4.6119098884649656E-2</v>
      </c>
      <c r="K33" s="106">
        <f>K32/1.35</f>
        <v>4.6119098884649656E-2</v>
      </c>
    </row>
    <row r="34" spans="1:16" s="69" customFormat="1" x14ac:dyDescent="0.2">
      <c r="A34" s="114" t="s">
        <v>178</v>
      </c>
      <c r="B34" s="126">
        <f t="shared" si="7"/>
        <v>2.0169475276866584E-2</v>
      </c>
      <c r="C34" s="96">
        <f t="shared" si="7"/>
        <v>1.7070285749859925E-2</v>
      </c>
      <c r="D34" s="96">
        <f t="shared" si="7"/>
        <v>1.7085440304692355E-2</v>
      </c>
      <c r="E34" s="96">
        <f t="shared" si="7"/>
        <v>1.6908442179845492E-2</v>
      </c>
      <c r="F34" s="120">
        <f t="shared" si="7"/>
        <v>1.6152154934553405E-2</v>
      </c>
      <c r="G34" s="126">
        <f>G33*0.35</f>
        <v>1.624538831333109E-2</v>
      </c>
      <c r="H34" s="96">
        <f>H33*0.35</f>
        <v>1.6012054979997751E-2</v>
      </c>
      <c r="I34" s="96">
        <f>I33*0.35</f>
        <v>1.6089832757775528E-2</v>
      </c>
      <c r="J34" s="96">
        <f>J33*0.35</f>
        <v>1.614168460962738E-2</v>
      </c>
      <c r="K34" s="107">
        <f>K33*0.35</f>
        <v>1.614168460962738E-2</v>
      </c>
    </row>
    <row r="35" spans="1:16" x14ac:dyDescent="0.2">
      <c r="A35" s="56" t="s">
        <v>50</v>
      </c>
      <c r="B35" s="123">
        <f t="shared" si="7"/>
        <v>3.6332009264315019E-3</v>
      </c>
      <c r="C35" s="93">
        <f t="shared" si="7"/>
        <v>2.4483143078673181E-3</v>
      </c>
      <c r="D35" s="93">
        <f t="shared" si="7"/>
        <v>2.9503968622278227E-3</v>
      </c>
      <c r="E35" s="93">
        <f t="shared" si="7"/>
        <v>3.6641295553400807E-3</v>
      </c>
      <c r="F35" s="117">
        <f t="shared" si="7"/>
        <v>2.000040876747846E-3</v>
      </c>
      <c r="G35" s="123">
        <f>AVERAGE(B35:F35)</f>
        <v>2.9392165057229138E-3</v>
      </c>
      <c r="H35" s="93">
        <f>G35</f>
        <v>2.9392165057229138E-3</v>
      </c>
      <c r="I35" s="93">
        <f>H35</f>
        <v>2.9392165057229138E-3</v>
      </c>
      <c r="J35" s="93">
        <f>I35</f>
        <v>2.9392165057229138E-3</v>
      </c>
      <c r="K35" s="104">
        <f>J35</f>
        <v>2.9392165057229138E-3</v>
      </c>
    </row>
    <row r="36" spans="1:16" ht="13.5" thickBot="1" x14ac:dyDescent="0.25">
      <c r="A36" s="115" t="s">
        <v>325</v>
      </c>
      <c r="B36" s="127">
        <f t="shared" si="7"/>
        <v>-4.2097892187714918E-4</v>
      </c>
      <c r="C36" s="108">
        <f t="shared" si="7"/>
        <v>2.1562823654587334E-3</v>
      </c>
      <c r="D36" s="108">
        <f t="shared" si="7"/>
        <v>3.0595899363295184E-3</v>
      </c>
      <c r="E36" s="108">
        <f t="shared" si="7"/>
        <v>-2.8719424217266299E-3</v>
      </c>
      <c r="F36" s="121">
        <f t="shared" si="7"/>
        <v>5.3237097789833176E-4</v>
      </c>
      <c r="G36" s="127">
        <v>0</v>
      </c>
      <c r="H36" s="108">
        <v>0</v>
      </c>
      <c r="I36" s="108">
        <v>0</v>
      </c>
      <c r="J36" s="108">
        <v>0</v>
      </c>
      <c r="K36" s="109">
        <v>0</v>
      </c>
      <c r="L36" s="257"/>
      <c r="M36" s="257"/>
      <c r="N36" s="257"/>
      <c r="O36" s="257"/>
      <c r="P36" s="257"/>
    </row>
    <row r="37" spans="1:16" ht="13.5" thickBot="1" x14ac:dyDescent="0.25">
      <c r="A37" s="4"/>
      <c r="B37" s="14"/>
      <c r="C37" s="14"/>
      <c r="D37" s="14"/>
      <c r="E37" s="14"/>
      <c r="F37" s="14"/>
      <c r="G37" s="1478"/>
      <c r="H37" s="1478"/>
      <c r="I37" s="1478"/>
      <c r="J37" s="1478"/>
      <c r="K37" s="13"/>
      <c r="L37" s="257"/>
      <c r="M37" s="257"/>
      <c r="N37" s="257"/>
      <c r="O37" s="257"/>
      <c r="P37" s="257"/>
    </row>
    <row r="38" spans="1:16" x14ac:dyDescent="0.2">
      <c r="A38" s="255" t="s">
        <v>605</v>
      </c>
      <c r="B38" s="247">
        <f>B21</f>
        <v>1214542</v>
      </c>
      <c r="C38" s="247">
        <f t="shared" ref="C38:K38" si="8">C21</f>
        <v>1528764</v>
      </c>
      <c r="D38" s="247">
        <f t="shared" si="8"/>
        <v>1591500</v>
      </c>
      <c r="E38" s="247">
        <f t="shared" si="8"/>
        <v>1630740</v>
      </c>
      <c r="F38" s="253">
        <f t="shared" si="8"/>
        <v>1771536</v>
      </c>
      <c r="G38" s="250">
        <f t="shared" si="8"/>
        <v>1932793.0073537999</v>
      </c>
      <c r="H38" s="247">
        <f t="shared" si="8"/>
        <v>2092972.0227851877</v>
      </c>
      <c r="I38" s="247">
        <f t="shared" si="8"/>
        <v>2210178.4560611583</v>
      </c>
      <c r="J38" s="247">
        <f t="shared" si="8"/>
        <v>2309636.4865839104</v>
      </c>
      <c r="K38" s="254">
        <f t="shared" si="8"/>
        <v>2388164.1271277633</v>
      </c>
      <c r="L38" s="67"/>
    </row>
    <row r="39" spans="1:16" x14ac:dyDescent="0.2">
      <c r="A39" s="138" t="s">
        <v>294</v>
      </c>
      <c r="B39" s="82"/>
      <c r="C39" s="96">
        <f t="shared" ref="C39:K39" si="9">C38/B38-1</f>
        <v>0.25871645443302915</v>
      </c>
      <c r="D39" s="96">
        <f t="shared" si="9"/>
        <v>4.1037073086493292E-2</v>
      </c>
      <c r="E39" s="96">
        <f t="shared" si="9"/>
        <v>2.4655984919886853E-2</v>
      </c>
      <c r="F39" s="120">
        <f t="shared" si="9"/>
        <v>8.6338717392104192E-2</v>
      </c>
      <c r="G39" s="126">
        <f t="shared" si="9"/>
        <v>9.1026661244140605E-2</v>
      </c>
      <c r="H39" s="96">
        <f t="shared" si="9"/>
        <v>8.2874376522445115E-2</v>
      </c>
      <c r="I39" s="96">
        <f t="shared" si="9"/>
        <v>5.600000000000005E-2</v>
      </c>
      <c r="J39" s="96">
        <f t="shared" si="9"/>
        <v>4.4999999999999929E-2</v>
      </c>
      <c r="K39" s="107">
        <f t="shared" si="9"/>
        <v>3.400000000000003E-2</v>
      </c>
      <c r="L39" s="67"/>
    </row>
    <row r="40" spans="1:16" ht="13.5" thickBot="1" x14ac:dyDescent="0.25">
      <c r="A40" s="139" t="s">
        <v>296</v>
      </c>
      <c r="B40" s="1002"/>
      <c r="C40" s="1525">
        <f>(F38/B38)^(1/4)-1</f>
        <v>9.8966265118531016E-2</v>
      </c>
      <c r="D40" s="1526"/>
      <c r="E40" s="1526"/>
      <c r="F40" s="1526"/>
      <c r="G40" s="1553">
        <f>(K38/F38)^(1/5)-1</f>
        <v>6.1555824784269797E-2</v>
      </c>
      <c r="H40" s="1526"/>
      <c r="I40" s="1526"/>
      <c r="J40" s="1526"/>
      <c r="K40" s="1543"/>
      <c r="L40" s="67"/>
    </row>
    <row r="41" spans="1:16" ht="13.5" thickBot="1" x14ac:dyDescent="0.25">
      <c r="A41" s="4"/>
      <c r="B41" s="67"/>
      <c r="C41" s="67"/>
      <c r="D41" s="67"/>
      <c r="E41" s="67"/>
      <c r="F41" s="67"/>
      <c r="G41" s="67"/>
      <c r="H41" s="67"/>
      <c r="I41" s="67"/>
      <c r="J41" s="67"/>
      <c r="L41" s="67"/>
    </row>
    <row r="42" spans="1:16" x14ac:dyDescent="0.2">
      <c r="A42" s="255" t="s">
        <v>759</v>
      </c>
      <c r="B42" s="250">
        <f>B22</f>
        <v>29472</v>
      </c>
      <c r="C42" s="247">
        <f t="shared" ref="C42:K42" si="10">C22</f>
        <v>29061</v>
      </c>
      <c r="D42" s="247">
        <f t="shared" si="10"/>
        <v>25131</v>
      </c>
      <c r="E42" s="247">
        <f t="shared" si="10"/>
        <v>27811</v>
      </c>
      <c r="F42" s="254">
        <f t="shared" si="10"/>
        <v>31198</v>
      </c>
      <c r="G42" s="250">
        <f t="shared" si="10"/>
        <v>34077.779505599996</v>
      </c>
      <c r="H42" s="247">
        <f t="shared" si="10"/>
        <v>37149.039383542193</v>
      </c>
      <c r="I42" s="247">
        <f t="shared" si="10"/>
        <v>38460.181950020153</v>
      </c>
      <c r="J42" s="247">
        <f t="shared" si="10"/>
        <v>39655.011602600782</v>
      </c>
      <c r="K42" s="254">
        <f t="shared" si="10"/>
        <v>41003.281997089209</v>
      </c>
      <c r="L42" s="67"/>
    </row>
    <row r="43" spans="1:16" x14ac:dyDescent="0.2">
      <c r="A43" s="138" t="s">
        <v>294</v>
      </c>
      <c r="B43" s="82"/>
      <c r="C43" s="96">
        <f>C42/B42-1</f>
        <v>-1.3945439739413645E-2</v>
      </c>
      <c r="D43" s="96">
        <f t="shared" ref="D43:K43" si="11">D42/C42-1</f>
        <v>-0.13523278620832047</v>
      </c>
      <c r="E43" s="96">
        <f t="shared" si="11"/>
        <v>0.10664120011141609</v>
      </c>
      <c r="F43" s="107">
        <f t="shared" si="11"/>
        <v>0.12178634353313433</v>
      </c>
      <c r="G43" s="1354">
        <f t="shared" si="11"/>
        <v>9.2306542265529812E-2</v>
      </c>
      <c r="H43" s="1355">
        <f t="shared" si="11"/>
        <v>9.0125000000000011E-2</v>
      </c>
      <c r="I43" s="1355">
        <f t="shared" si="11"/>
        <v>3.529411764705892E-2</v>
      </c>
      <c r="J43" s="1355">
        <f t="shared" si="11"/>
        <v>3.1066666666666798E-2</v>
      </c>
      <c r="K43" s="1356">
        <f t="shared" si="11"/>
        <v>3.400000000000003E-2</v>
      </c>
      <c r="L43" s="67"/>
    </row>
    <row r="44" spans="1:16" x14ac:dyDescent="0.2">
      <c r="A44" s="81" t="s">
        <v>296</v>
      </c>
      <c r="B44" s="84"/>
      <c r="C44" s="1528">
        <f>(F42/B42)^(1/4)-1</f>
        <v>1.4330037043650767E-2</v>
      </c>
      <c r="D44" s="1528"/>
      <c r="E44" s="1528"/>
      <c r="F44" s="1529"/>
      <c r="G44" s="1554">
        <f>(K42/F42)^(1/5)-1</f>
        <v>5.6181055228782695E-2</v>
      </c>
      <c r="H44" s="1555"/>
      <c r="I44" s="1555"/>
      <c r="J44" s="1555"/>
      <c r="K44" s="1556"/>
      <c r="L44" s="12"/>
    </row>
    <row r="45" spans="1:16" ht="13.5" thickBot="1" x14ac:dyDescent="0.25">
      <c r="A45" s="75" t="s">
        <v>297</v>
      </c>
      <c r="B45" s="98"/>
      <c r="C45" s="1526">
        <f>GEOMEAN('4 Vnější potenciál'!D22:D25)-1</f>
        <v>6.4904666126570643E-3</v>
      </c>
      <c r="D45" s="1526"/>
      <c r="E45" s="1526"/>
      <c r="F45" s="1543"/>
      <c r="G45" s="1557">
        <f>GEOMEAN('4 Vnější potenciál'!D26:D30)-1</f>
        <v>1.7195589412686729E-2</v>
      </c>
      <c r="H45" s="1531"/>
      <c r="I45" s="1531"/>
      <c r="J45" s="1531"/>
      <c r="K45" s="1539"/>
      <c r="L45" s="12"/>
    </row>
    <row r="46" spans="1:16" ht="13.5" thickBot="1" x14ac:dyDescent="0.25">
      <c r="C46" s="252"/>
      <c r="D46" s="252"/>
      <c r="E46" s="252"/>
      <c r="F46" s="252"/>
      <c r="G46" s="252"/>
      <c r="H46" s="252"/>
      <c r="I46" s="252"/>
      <c r="J46" s="252"/>
      <c r="L46" s="12"/>
    </row>
    <row r="47" spans="1:16" x14ac:dyDescent="0.2">
      <c r="A47" s="255" t="s">
        <v>462</v>
      </c>
      <c r="B47" s="247">
        <f>B23</f>
        <v>113854</v>
      </c>
      <c r="C47" s="247">
        <f t="shared" ref="C47:J47" si="12">C23</f>
        <v>118548</v>
      </c>
      <c r="D47" s="247">
        <f t="shared" si="12"/>
        <v>123054</v>
      </c>
      <c r="E47" s="247">
        <f t="shared" si="12"/>
        <v>125664</v>
      </c>
      <c r="F47" s="253">
        <f t="shared" si="12"/>
        <v>129686</v>
      </c>
      <c r="G47" s="250">
        <f t="shared" si="12"/>
        <v>140482.91865566536</v>
      </c>
      <c r="H47" s="247">
        <f t="shared" si="12"/>
        <v>149957.76329328894</v>
      </c>
      <c r="I47" s="247">
        <f t="shared" si="12"/>
        <v>159124.60167671353</v>
      </c>
      <c r="J47" s="247">
        <f t="shared" si="12"/>
        <v>166821.08728733589</v>
      </c>
      <c r="K47" s="254">
        <f>K23</f>
        <v>172493.0042551053</v>
      </c>
      <c r="L47" s="12"/>
    </row>
    <row r="48" spans="1:16" x14ac:dyDescent="0.2">
      <c r="A48" s="138" t="s">
        <v>294</v>
      </c>
      <c r="B48" s="82"/>
      <c r="C48" s="96">
        <f t="shared" ref="C48:K48" si="13">C47/B47-1</f>
        <v>4.1228239675373812E-2</v>
      </c>
      <c r="D48" s="96">
        <f t="shared" si="13"/>
        <v>3.8009920032392008E-2</v>
      </c>
      <c r="E48" s="96">
        <f t="shared" si="13"/>
        <v>2.1210200399824464E-2</v>
      </c>
      <c r="F48" s="120">
        <f t="shared" si="13"/>
        <v>3.2005984211866512E-2</v>
      </c>
      <c r="G48" s="126">
        <f t="shared" si="13"/>
        <v>8.3254311611626219E-2</v>
      </c>
      <c r="H48" s="96">
        <f t="shared" si="13"/>
        <v>6.7444816268710683E-2</v>
      </c>
      <c r="I48" s="96">
        <f t="shared" si="13"/>
        <v>6.1129468605743309E-2</v>
      </c>
      <c r="J48" s="96">
        <f t="shared" si="13"/>
        <v>4.8367666152962174E-2</v>
      </c>
      <c r="K48" s="107">
        <f t="shared" si="13"/>
        <v>3.400000000000003E-2</v>
      </c>
      <c r="L48" s="12"/>
    </row>
    <row r="49" spans="1:12" ht="13.5" thickBot="1" x14ac:dyDescent="0.25">
      <c r="A49" s="75" t="s">
        <v>295</v>
      </c>
      <c r="B49" s="251"/>
      <c r="C49" s="1530">
        <f>(F47/B47)^(1/4)-1</f>
        <v>3.3085344226907232E-2</v>
      </c>
      <c r="D49" s="1531"/>
      <c r="E49" s="1531"/>
      <c r="F49" s="1531"/>
      <c r="G49" s="1553">
        <f>(K47/F47)^(1/5)-1</f>
        <v>5.8706740695991355E-2</v>
      </c>
      <c r="H49" s="1526"/>
      <c r="I49" s="1526"/>
      <c r="J49" s="1526"/>
      <c r="K49" s="1543"/>
      <c r="L49" s="12"/>
    </row>
    <row r="50" spans="1:12" ht="13.5" thickBot="1" x14ac:dyDescent="0.25">
      <c r="C50" s="252"/>
      <c r="D50" s="252"/>
      <c r="E50" s="252"/>
      <c r="F50" s="252"/>
      <c r="G50" s="252"/>
      <c r="H50" s="252"/>
      <c r="I50" s="252"/>
      <c r="J50" s="252"/>
      <c r="L50" s="12"/>
    </row>
    <row r="51" spans="1:12" x14ac:dyDescent="0.2">
      <c r="A51" s="1175" t="s">
        <v>761</v>
      </c>
      <c r="B51" s="492">
        <f>B7-B21-B22-B23-B26-B27</f>
        <v>77010</v>
      </c>
      <c r="C51" s="494">
        <f t="shared" ref="C51:J51" si="14">C7-C21-C22-C23-C26-C27</f>
        <v>82421</v>
      </c>
      <c r="D51" s="494">
        <f t="shared" si="14"/>
        <v>80925</v>
      </c>
      <c r="E51" s="494">
        <f t="shared" si="14"/>
        <v>107777</v>
      </c>
      <c r="F51" s="1021">
        <f t="shared" si="14"/>
        <v>117334</v>
      </c>
      <c r="G51" s="513">
        <f t="shared" si="14"/>
        <v>128015.86906380003</v>
      </c>
      <c r="H51" s="494">
        <f t="shared" si="14"/>
        <v>140826.42380689213</v>
      </c>
      <c r="I51" s="494">
        <f t="shared" si="14"/>
        <v>148712.70354007807</v>
      </c>
      <c r="J51" s="494">
        <f t="shared" si="14"/>
        <v>155404.77519938155</v>
      </c>
      <c r="K51" s="715">
        <f>K7-K21-K22-K23-K26-K27</f>
        <v>160688.53755616053</v>
      </c>
      <c r="L51" s="67"/>
    </row>
    <row r="52" spans="1:12" ht="13.5" thickBot="1" x14ac:dyDescent="0.25">
      <c r="A52" s="230" t="s">
        <v>760</v>
      </c>
      <c r="B52" s="998">
        <f t="shared" ref="B52:J52" si="15">B51/B7</f>
        <v>5.3497667943497126E-2</v>
      </c>
      <c r="C52" s="996">
        <f t="shared" si="15"/>
        <v>4.664644326600375E-2</v>
      </c>
      <c r="D52" s="996">
        <f t="shared" si="15"/>
        <v>4.4182247608398693E-2</v>
      </c>
      <c r="E52" s="996">
        <f t="shared" si="15"/>
        <v>5.6919701799637915E-2</v>
      </c>
      <c r="F52" s="1022">
        <f t="shared" si="15"/>
        <v>5.7098003949472446E-2</v>
      </c>
      <c r="G52" s="995">
        <f t="shared" si="15"/>
        <v>5.7100000000000019E-2</v>
      </c>
      <c r="H52" s="996">
        <f t="shared" si="15"/>
        <v>5.8000000000000058E-2</v>
      </c>
      <c r="I52" s="996">
        <f t="shared" si="15"/>
        <v>5.8000000000000052E-2</v>
      </c>
      <c r="J52" s="996">
        <f t="shared" si="15"/>
        <v>5.8000000000000038E-2</v>
      </c>
      <c r="K52" s="997">
        <f>K51/K7</f>
        <v>5.8000000000000045E-2</v>
      </c>
      <c r="L52" s="67"/>
    </row>
    <row r="53" spans="1:12" ht="24" customHeight="1" x14ac:dyDescent="0.2">
      <c r="B53" s="12"/>
      <c r="C53" s="12"/>
      <c r="D53" s="12"/>
      <c r="E53" s="12"/>
      <c r="F53" s="12"/>
      <c r="G53" s="12"/>
      <c r="H53" s="12"/>
      <c r="I53" s="12"/>
      <c r="J53" s="12"/>
    </row>
    <row r="54" spans="1:12" ht="15.75" x14ac:dyDescent="0.25">
      <c r="A54" s="673" t="s">
        <v>633</v>
      </c>
    </row>
    <row r="55" spans="1:12" ht="15.75" x14ac:dyDescent="0.25">
      <c r="A55" s="673"/>
    </row>
    <row r="56" spans="1:12" ht="13.5" thickBot="1" x14ac:dyDescent="0.25">
      <c r="A56" s="674" t="s">
        <v>611</v>
      </c>
    </row>
    <row r="57" spans="1:12" ht="13.5" thickBot="1" x14ac:dyDescent="0.25">
      <c r="A57" s="651"/>
      <c r="B57" s="550">
        <f>B4</f>
        <v>2012</v>
      </c>
      <c r="C57" s="551">
        <f t="shared" ref="C57:K57" si="16">C4</f>
        <v>2013</v>
      </c>
      <c r="D57" s="551">
        <f t="shared" si="16"/>
        <v>2014</v>
      </c>
      <c r="E57" s="551">
        <f t="shared" si="16"/>
        <v>2015</v>
      </c>
      <c r="F57" s="626">
        <f t="shared" si="16"/>
        <v>2016</v>
      </c>
      <c r="G57" s="550">
        <f t="shared" si="16"/>
        <v>2017</v>
      </c>
      <c r="H57" s="551">
        <f t="shared" si="16"/>
        <v>2018</v>
      </c>
      <c r="I57" s="551">
        <f t="shared" si="16"/>
        <v>2019</v>
      </c>
      <c r="J57" s="551">
        <f t="shared" si="16"/>
        <v>2020</v>
      </c>
      <c r="K57" s="626">
        <f t="shared" si="16"/>
        <v>2021</v>
      </c>
    </row>
    <row r="58" spans="1:12" x14ac:dyDescent="0.2">
      <c r="A58" s="684" t="s">
        <v>169</v>
      </c>
      <c r="B58" s="685">
        <f>B78/B$7*365</f>
        <v>27.573626156823678</v>
      </c>
      <c r="C58" s="686">
        <f>C78/C$7*365</f>
        <v>28.433118459701287</v>
      </c>
      <c r="D58" s="686">
        <f>D78/D$7*365</f>
        <v>27.595530290704719</v>
      </c>
      <c r="E58" s="686">
        <f>E78/E$7*365</f>
        <v>27.2508782714688</v>
      </c>
      <c r="F58" s="687">
        <f>F78/F$7*365</f>
        <v>25.980005430767928</v>
      </c>
      <c r="G58" s="695">
        <f>G59+G60</f>
        <v>27.5</v>
      </c>
      <c r="H58" s="696">
        <f>H59+H60</f>
        <v>28.5</v>
      </c>
      <c r="I58" s="696">
        <f>I59+I60</f>
        <v>30.5</v>
      </c>
      <c r="J58" s="696">
        <f>J59+J60</f>
        <v>30.5</v>
      </c>
      <c r="K58" s="697">
        <f>K59+K60</f>
        <v>30.5</v>
      </c>
    </row>
    <row r="59" spans="1:12" x14ac:dyDescent="0.2">
      <c r="A59" s="81" t="s">
        <v>170</v>
      </c>
      <c r="B59" s="136">
        <f>'7 Rozvaha'!C16/'16 Generátory'!B$7*365</f>
        <v>0.50661270355998111</v>
      </c>
      <c r="C59" s="97">
        <f>'7 Rozvaha'!D16/'16 Generátory'!C$7*365</f>
        <v>0.39166237485355954</v>
      </c>
      <c r="D59" s="97">
        <f>'7 Rozvaha'!E16/'16 Generátory'!D$7*365</f>
        <v>0.40612726016014256</v>
      </c>
      <c r="E59" s="97">
        <f>'7 Rozvaha'!F16/'16 Generátory'!E$7*365</f>
        <v>0.43526457994013179</v>
      </c>
      <c r="F59" s="129">
        <f>'7 Rozvaha'!G16/'16 Generátory'!F$7*365</f>
        <v>0.35346221187975618</v>
      </c>
      <c r="G59" s="84">
        <v>0.5</v>
      </c>
      <c r="H59" s="77">
        <f>G59</f>
        <v>0.5</v>
      </c>
      <c r="I59" s="77">
        <f>H59</f>
        <v>0.5</v>
      </c>
      <c r="J59" s="77">
        <f>I59</f>
        <v>0.5</v>
      </c>
      <c r="K59" s="132">
        <f>J59</f>
        <v>0.5</v>
      </c>
    </row>
    <row r="60" spans="1:12" ht="13.5" thickBot="1" x14ac:dyDescent="0.25">
      <c r="A60" s="139" t="s">
        <v>171</v>
      </c>
      <c r="B60" s="137">
        <f>'7 Rozvaha'!C17/'16 Generátory'!B$7*365</f>
        <v>27.067013453263698</v>
      </c>
      <c r="C60" s="130">
        <f>'7 Rozvaha'!D17/'16 Generátory'!C$7*365</f>
        <v>28.041456084847727</v>
      </c>
      <c r="D60" s="130">
        <f>'7 Rozvaha'!E17/'16 Generátory'!D$7*365</f>
        <v>27.189403030544579</v>
      </c>
      <c r="E60" s="130">
        <f>'7 Rozvaha'!F17/'16 Generátory'!E$7*365</f>
        <v>26.815613691528668</v>
      </c>
      <c r="F60" s="131">
        <f>'7 Rozvaha'!G17/'16 Generátory'!F$7*365</f>
        <v>25.62654321888817</v>
      </c>
      <c r="G60" s="664">
        <v>27</v>
      </c>
      <c r="H60" s="665">
        <v>28</v>
      </c>
      <c r="I60" s="665">
        <v>30</v>
      </c>
      <c r="J60" s="665">
        <v>30</v>
      </c>
      <c r="K60" s="666">
        <v>30</v>
      </c>
    </row>
    <row r="61" spans="1:12" ht="13.5" thickBot="1" x14ac:dyDescent="0.25"/>
    <row r="62" spans="1:12" ht="13.5" thickBot="1" x14ac:dyDescent="0.25">
      <c r="A62" s="74" t="s">
        <v>172</v>
      </c>
      <c r="B62" s="688">
        <f>B79/B$7*365</f>
        <v>11.217490493240023</v>
      </c>
      <c r="C62" s="689">
        <f>C79/C$7*365</f>
        <v>9.218112771869853</v>
      </c>
      <c r="D62" s="689">
        <f>D79/D$7*365</f>
        <v>9.2982816285928607</v>
      </c>
      <c r="E62" s="689">
        <f>E79/E$7*365</f>
        <v>9.0661486819062347</v>
      </c>
      <c r="F62" s="690">
        <f>F79/F$7*365</f>
        <v>10.5019129344736</v>
      </c>
      <c r="G62" s="1080">
        <v>12</v>
      </c>
      <c r="H62" s="1081">
        <f>G62</f>
        <v>12</v>
      </c>
      <c r="I62" s="1081">
        <f>H62</f>
        <v>12</v>
      </c>
      <c r="J62" s="1081">
        <f>I62</f>
        <v>12</v>
      </c>
      <c r="K62" s="1082">
        <f>J62</f>
        <v>12</v>
      </c>
    </row>
    <row r="63" spans="1:12" ht="13.5" thickBot="1" x14ac:dyDescent="0.25"/>
    <row r="64" spans="1:12" x14ac:dyDescent="0.2">
      <c r="A64" s="691" t="s">
        <v>762</v>
      </c>
      <c r="B64" s="692">
        <f>B82/B$7*365</f>
        <v>30.055470572461864</v>
      </c>
      <c r="C64" s="693">
        <f>C82/C$7*365</f>
        <v>34.678232867176405</v>
      </c>
      <c r="D64" s="693">
        <f>D82/D$7*365</f>
        <v>35.79419944551757</v>
      </c>
      <c r="E64" s="693">
        <f>E82/E$7*365</f>
        <v>37.224952627209412</v>
      </c>
      <c r="F64" s="694">
        <f>F82/F$7*365</f>
        <v>35.657765268195263</v>
      </c>
      <c r="G64" s="698">
        <f>G65+G66+G67+G68</f>
        <v>39</v>
      </c>
      <c r="H64" s="693">
        <f>H65+H66+H67+H68</f>
        <v>39</v>
      </c>
      <c r="I64" s="693">
        <f>I65+I66+I67+I68</f>
        <v>39.199999999999996</v>
      </c>
      <c r="J64" s="693">
        <f>J65+J66+J67+J68</f>
        <v>39.199999999999996</v>
      </c>
      <c r="K64" s="699">
        <f>K65+K66+K67+K68</f>
        <v>39.199999999999996</v>
      </c>
    </row>
    <row r="65" spans="1:11" x14ac:dyDescent="0.2">
      <c r="A65" s="56" t="s">
        <v>179</v>
      </c>
      <c r="B65" s="136">
        <f>'7 Rozvaha'!C41/'16 Generátory'!B$7*365</f>
        <v>20.993239328601142</v>
      </c>
      <c r="C65" s="97">
        <f>'7 Rozvaha'!D41/'16 Generátory'!C$7*365</f>
        <v>23.91867249975947</v>
      </c>
      <c r="D65" s="97">
        <f>'7 Rozvaha'!E41/'16 Generátory'!D$7*365</f>
        <v>23.898935258334433</v>
      </c>
      <c r="E65" s="97">
        <f>'7 Rozvaha'!F41/'16 Generátory'!E$7*365</f>
        <v>26.73002579361307</v>
      </c>
      <c r="F65" s="140">
        <f>'7 Rozvaha'!G41/'16 Generátory'!F$7*365</f>
        <v>25.856382466210992</v>
      </c>
      <c r="G65" s="142">
        <v>28</v>
      </c>
      <c r="H65" s="97">
        <f>G65</f>
        <v>28</v>
      </c>
      <c r="I65" s="97">
        <f>H65</f>
        <v>28</v>
      </c>
      <c r="J65" s="97">
        <f>I65</f>
        <v>28</v>
      </c>
      <c r="K65" s="129">
        <f>J65</f>
        <v>28</v>
      </c>
    </row>
    <row r="66" spans="1:11" x14ac:dyDescent="0.2">
      <c r="A66" s="56" t="s">
        <v>173</v>
      </c>
      <c r="B66" s="136">
        <f>'7 Rozvaha'!C43/'16 Generátory'!B$7*365</f>
        <v>7.4470546063847083</v>
      </c>
      <c r="C66" s="97">
        <f>'7 Rozvaha'!D43/'16 Generátory'!C$7*365</f>
        <v>8.9206476770443643</v>
      </c>
      <c r="D66" s="97">
        <f>'7 Rozvaha'!E43/'16 Generátory'!D$7*365</f>
        <v>9.9156428906027347</v>
      </c>
      <c r="E66" s="97">
        <f>'7 Rozvaha'!F43/'16 Generátory'!E$7*365</f>
        <v>8.6678950848485226</v>
      </c>
      <c r="F66" s="140">
        <f>'7 Rozvaha'!G43/'16 Generátory'!F$7*365</f>
        <v>8.1132899066550266</v>
      </c>
      <c r="G66" s="142">
        <v>9</v>
      </c>
      <c r="H66" s="97">
        <f>G66</f>
        <v>9</v>
      </c>
      <c r="I66" s="97">
        <v>9</v>
      </c>
      <c r="J66" s="97">
        <f t="shared" ref="J66:K68" si="17">I66</f>
        <v>9</v>
      </c>
      <c r="K66" s="129">
        <f t="shared" si="17"/>
        <v>9</v>
      </c>
    </row>
    <row r="67" spans="1:11" x14ac:dyDescent="0.2">
      <c r="A67" s="56" t="s">
        <v>174</v>
      </c>
      <c r="B67" s="136">
        <f>'7 Rozvaha'!C44/'16 Generátory'!B$7*365</f>
        <v>0.75510141701782985</v>
      </c>
      <c r="C67" s="97">
        <f>'7 Rozvaha'!D44/'16 Generátory'!C$7*365</f>
        <v>0.76308059742038448</v>
      </c>
      <c r="D67" s="97">
        <f>'7 Rozvaha'!E44/'16 Generátory'!D$7*365</f>
        <v>0.72337681765520989</v>
      </c>
      <c r="E67" s="97">
        <f>'7 Rozvaha'!F44/'16 Generátory'!E$7*365</f>
        <v>0.72518394585242496</v>
      </c>
      <c r="F67" s="140">
        <f>'7 Rozvaha'!G44/'16 Generátory'!F$7*365</f>
        <v>0.700885370893225</v>
      </c>
      <c r="G67" s="84">
        <v>0.8</v>
      </c>
      <c r="H67" s="97">
        <f>G67</f>
        <v>0.8</v>
      </c>
      <c r="I67" s="97">
        <v>0.9</v>
      </c>
      <c r="J67" s="97">
        <f t="shared" si="17"/>
        <v>0.9</v>
      </c>
      <c r="K67" s="129">
        <f t="shared" si="17"/>
        <v>0.9</v>
      </c>
    </row>
    <row r="68" spans="1:11" ht="13.5" thickBot="1" x14ac:dyDescent="0.25">
      <c r="A68" s="115" t="s">
        <v>175</v>
      </c>
      <c r="B68" s="137">
        <f>'7 Rozvaha'!C45/'16 Generátory'!B$7*365</f>
        <v>0.86007522045818618</v>
      </c>
      <c r="C68" s="130">
        <f>'7 Rozvaha'!D45/'16 Generátory'!C$7*365</f>
        <v>1.0758320929521825</v>
      </c>
      <c r="D68" s="130">
        <f>'7 Rozvaha'!E45/'16 Generátory'!D$7*365</f>
        <v>1.2562444789251908</v>
      </c>
      <c r="E68" s="130">
        <f>'7 Rozvaha'!F45/'16 Generátory'!E$7*365</f>
        <v>1.1018478028953911</v>
      </c>
      <c r="F68" s="141">
        <f>'7 Rozvaha'!G45/'16 Generátory'!F$7*365</f>
        <v>0.98720752443602244</v>
      </c>
      <c r="G68" s="98">
        <v>1.2</v>
      </c>
      <c r="H68" s="130">
        <f>G68</f>
        <v>1.2</v>
      </c>
      <c r="I68" s="130">
        <v>1.3</v>
      </c>
      <c r="J68" s="130">
        <f t="shared" si="17"/>
        <v>1.3</v>
      </c>
      <c r="K68" s="131">
        <f t="shared" si="17"/>
        <v>1.3</v>
      </c>
    </row>
    <row r="70" spans="1:11" ht="13.5" thickBot="1" x14ac:dyDescent="0.25">
      <c r="A70" s="674" t="s">
        <v>467</v>
      </c>
    </row>
    <row r="71" spans="1:11" x14ac:dyDescent="0.2">
      <c r="A71" s="708" t="s">
        <v>628</v>
      </c>
      <c r="B71" s="513">
        <f>'7 Rozvaha'!C23</f>
        <v>12331.327000000048</v>
      </c>
      <c r="C71" s="494">
        <f>'7 Rozvaha'!D23</f>
        <v>22977.267748699989</v>
      </c>
      <c r="D71" s="494">
        <f>'7 Rozvaha'!E23</f>
        <v>32330.910617464455</v>
      </c>
      <c r="E71" s="494">
        <f>'7 Rozvaha'!F23</f>
        <v>43057.57388066547</v>
      </c>
      <c r="F71" s="715">
        <f>'7 Rozvaha'!G23</f>
        <v>50815.544054882135</v>
      </c>
      <c r="G71" s="511"/>
      <c r="H71" s="71"/>
      <c r="I71" s="71"/>
      <c r="J71" s="71"/>
      <c r="K71" s="72"/>
    </row>
    <row r="72" spans="1:11" x14ac:dyDescent="0.2">
      <c r="A72" s="42" t="s">
        <v>629</v>
      </c>
      <c r="B72" s="648">
        <f>B71/B82</f>
        <v>0.10403198238480139</v>
      </c>
      <c r="C72" s="649">
        <f>C71/C82</f>
        <v>0.13687210496384186</v>
      </c>
      <c r="D72" s="649">
        <f>D71/D82</f>
        <v>0.17999616199456883</v>
      </c>
      <c r="E72" s="649">
        <f>E71/E82</f>
        <v>0.22296915685705282</v>
      </c>
      <c r="F72" s="650">
        <f>F71/F82</f>
        <v>0.25312344488718597</v>
      </c>
      <c r="G72" s="709"/>
      <c r="H72" s="244"/>
      <c r="I72" s="244"/>
      <c r="J72" s="244"/>
      <c r="K72" s="710"/>
    </row>
    <row r="73" spans="1:11" x14ac:dyDescent="0.2">
      <c r="A73" s="26" t="s">
        <v>183</v>
      </c>
      <c r="B73" s="716">
        <f>IF(B72&lt;B74,B71,B82*B$74)</f>
        <v>12331.327000000048</v>
      </c>
      <c r="C73" s="717">
        <f>IF(C72&lt;C74,C71,C82*C$74)</f>
        <v>22977.267748699989</v>
      </c>
      <c r="D73" s="717">
        <f>IF(D72&lt;D74,D71,D82*D$74)</f>
        <v>26943</v>
      </c>
      <c r="E73" s="717">
        <f>IF(E72&lt;E74,E71,E82*E$74)</f>
        <v>28966.5</v>
      </c>
      <c r="F73" s="718">
        <f>IF(F72&lt;F74,F71,F82*F$74)</f>
        <v>30113.1</v>
      </c>
      <c r="G73" s="722">
        <f>G82*G$74</f>
        <v>35932.770387123281</v>
      </c>
      <c r="H73" s="723">
        <f>H82*H$74</f>
        <v>38915.190329254518</v>
      </c>
      <c r="I73" s="723">
        <f>I82*I$74</f>
        <v>41305.181710706573</v>
      </c>
      <c r="J73" s="723">
        <f>J82*J$74</f>
        <v>43163.914887688377</v>
      </c>
      <c r="K73" s="724">
        <f>K82*K$74</f>
        <v>44631.487993869778</v>
      </c>
    </row>
    <row r="74" spans="1:11" ht="13.5" thickBot="1" x14ac:dyDescent="0.25">
      <c r="A74" s="37" t="s">
        <v>463</v>
      </c>
      <c r="B74" s="719">
        <f>IF(B72&gt;0.15,0.15,B72)</f>
        <v>0.10403198238480139</v>
      </c>
      <c r="C74" s="720">
        <f>IF(C72&gt;0.15,0.15,C72)</f>
        <v>0.13687210496384186</v>
      </c>
      <c r="D74" s="720">
        <f>IF(D72&gt;0.15,0.15,D72)</f>
        <v>0.15</v>
      </c>
      <c r="E74" s="720">
        <f>IF(E72&gt;0.15,0.15,E72)</f>
        <v>0.15</v>
      </c>
      <c r="F74" s="721">
        <f>IF(F72&gt;0.15,0.15,F72)</f>
        <v>0.15</v>
      </c>
      <c r="G74" s="725">
        <v>0.15</v>
      </c>
      <c r="H74" s="726">
        <v>0.15</v>
      </c>
      <c r="I74" s="726">
        <v>0.15</v>
      </c>
      <c r="J74" s="726">
        <v>0.15</v>
      </c>
      <c r="K74" s="727">
        <v>0.15</v>
      </c>
    </row>
    <row r="75" spans="1:11" x14ac:dyDescent="0.2">
      <c r="A75" s="4"/>
    </row>
    <row r="76" spans="1:11" ht="13.5" thickBot="1" x14ac:dyDescent="0.25">
      <c r="A76" s="674" t="s">
        <v>468</v>
      </c>
    </row>
    <row r="77" spans="1:11" ht="13.5" thickBot="1" x14ac:dyDescent="0.25">
      <c r="A77" s="651" t="s">
        <v>194</v>
      </c>
      <c r="B77" s="550">
        <f>B57</f>
        <v>2012</v>
      </c>
      <c r="C77" s="551">
        <f t="shared" ref="C77:K77" si="18">C57</f>
        <v>2013</v>
      </c>
      <c r="D77" s="551">
        <f t="shared" si="18"/>
        <v>2014</v>
      </c>
      <c r="E77" s="551">
        <f t="shared" si="18"/>
        <v>2015</v>
      </c>
      <c r="F77" s="626">
        <f t="shared" si="18"/>
        <v>2016</v>
      </c>
      <c r="G77" s="550">
        <f t="shared" si="18"/>
        <v>2017</v>
      </c>
      <c r="H77" s="551">
        <f t="shared" si="18"/>
        <v>2018</v>
      </c>
      <c r="I77" s="551">
        <f t="shared" si="18"/>
        <v>2019</v>
      </c>
      <c r="J77" s="551">
        <f t="shared" si="18"/>
        <v>2020</v>
      </c>
      <c r="K77" s="551">
        <f t="shared" si="18"/>
        <v>2021</v>
      </c>
    </row>
    <row r="78" spans="1:11" x14ac:dyDescent="0.2">
      <c r="A78" s="42" t="s">
        <v>17</v>
      </c>
      <c r="B78" s="147">
        <f>'7 Rozvaha'!C15</f>
        <v>108746</v>
      </c>
      <c r="C78" s="148">
        <f>'7 Rozvaha'!D15</f>
        <v>137642</v>
      </c>
      <c r="D78" s="148">
        <f>'7 Rozvaha'!E15</f>
        <v>138478</v>
      </c>
      <c r="E78" s="148">
        <f>'7 Rozvaha'!F15</f>
        <v>141368</v>
      </c>
      <c r="F78" s="149">
        <f>'7 Rozvaha'!G15</f>
        <v>146268</v>
      </c>
      <c r="G78" s="750">
        <f>G58*G7/365</f>
        <v>168914.73258904109</v>
      </c>
      <c r="H78" s="148">
        <f>H58*H7/365</f>
        <v>189586.82468098353</v>
      </c>
      <c r="I78" s="148">
        <f>I58*I7/365</f>
        <v>214253.06839737255</v>
      </c>
      <c r="J78" s="148">
        <f>J58*J7/365</f>
        <v>223894.45647525432</v>
      </c>
      <c r="K78" s="151">
        <f>K58*K7/365</f>
        <v>231506.86799541296</v>
      </c>
    </row>
    <row r="79" spans="1:11" x14ac:dyDescent="0.2">
      <c r="A79" s="56" t="s">
        <v>181</v>
      </c>
      <c r="B79" s="78">
        <f>'7 Rozvaha'!C18</f>
        <v>44240</v>
      </c>
      <c r="C79" s="76">
        <f>'7 Rozvaha'!D18</f>
        <v>44624</v>
      </c>
      <c r="D79" s="76">
        <f>'7 Rozvaha'!E18</f>
        <v>46660</v>
      </c>
      <c r="E79" s="76">
        <f>'7 Rozvaha'!F18</f>
        <v>47032</v>
      </c>
      <c r="F79" s="145">
        <f>'7 Rozvaha'!G18</f>
        <v>59126</v>
      </c>
      <c r="G79" s="82">
        <f>G62*G7/365</f>
        <v>73708.246947945212</v>
      </c>
      <c r="H79" s="76">
        <f>H62*H7/365</f>
        <v>79826.031444624648</v>
      </c>
      <c r="I79" s="76">
        <f>I62*I7/365</f>
        <v>84296.28920552363</v>
      </c>
      <c r="J79" s="76">
        <f>J62*J7/365</f>
        <v>88089.622219772195</v>
      </c>
      <c r="K79" s="83">
        <f>K62*K7/365</f>
        <v>91084.669375244441</v>
      </c>
    </row>
    <row r="80" spans="1:11" x14ac:dyDescent="0.2">
      <c r="A80" s="56" t="s">
        <v>182</v>
      </c>
      <c r="B80" s="78">
        <f t="shared" ref="B80:J80" si="19">B73</f>
        <v>12331.327000000048</v>
      </c>
      <c r="C80" s="76">
        <f t="shared" si="19"/>
        <v>22977.267748699989</v>
      </c>
      <c r="D80" s="76">
        <f t="shared" si="19"/>
        <v>26943</v>
      </c>
      <c r="E80" s="76">
        <f t="shared" si="19"/>
        <v>28966.5</v>
      </c>
      <c r="F80" s="145">
        <f t="shared" si="19"/>
        <v>30113.1</v>
      </c>
      <c r="G80" s="82">
        <f t="shared" si="19"/>
        <v>35932.770387123281</v>
      </c>
      <c r="H80" s="76">
        <f t="shared" si="19"/>
        <v>38915.190329254518</v>
      </c>
      <c r="I80" s="76">
        <f t="shared" si="19"/>
        <v>41305.181710706573</v>
      </c>
      <c r="J80" s="76">
        <f t="shared" si="19"/>
        <v>43163.914887688377</v>
      </c>
      <c r="K80" s="83">
        <f>K73</f>
        <v>44631.487993869778</v>
      </c>
    </row>
    <row r="81" spans="1:11" x14ac:dyDescent="0.2">
      <c r="A81" s="80" t="s">
        <v>692</v>
      </c>
      <c r="B81" s="78">
        <f>'7 Rozvaha'!C24</f>
        <v>2150</v>
      </c>
      <c r="C81" s="76">
        <f>'7 Rozvaha'!D24</f>
        <v>3748</v>
      </c>
      <c r="D81" s="76">
        <f>'7 Rozvaha'!E24</f>
        <v>3202</v>
      </c>
      <c r="E81" s="76">
        <f>'7 Rozvaha'!F24</f>
        <v>9038</v>
      </c>
      <c r="F81" s="145">
        <f>'7 Rozvaha'!G24</f>
        <v>13886</v>
      </c>
      <c r="G81" s="82">
        <f>$F$81</f>
        <v>13886</v>
      </c>
      <c r="H81" s="76">
        <f>$F$81</f>
        <v>13886</v>
      </c>
      <c r="I81" s="76">
        <f>$F$81</f>
        <v>13886</v>
      </c>
      <c r="J81" s="76">
        <f>$F$81</f>
        <v>13886</v>
      </c>
      <c r="K81" s="83">
        <f>$F$81</f>
        <v>13886</v>
      </c>
    </row>
    <row r="82" spans="1:11" x14ac:dyDescent="0.2">
      <c r="A82" s="56" t="s">
        <v>751</v>
      </c>
      <c r="B82" s="78">
        <f>'7 Rozvaha'!C39-'7 Rozvaha'!C40</f>
        <v>118534</v>
      </c>
      <c r="C82" s="76">
        <f>'7 Rozvaha'!D39-'7 Rozvaha'!D40</f>
        <v>167874</v>
      </c>
      <c r="D82" s="76">
        <f>'7 Rozvaha'!E39-'7 Rozvaha'!E40</f>
        <v>179620</v>
      </c>
      <c r="E82" s="76">
        <f>'7 Rozvaha'!F39-'7 Rozvaha'!F40</f>
        <v>193110</v>
      </c>
      <c r="F82" s="145">
        <f>'7 Rozvaha'!G39-'7 Rozvaha'!G40</f>
        <v>200754</v>
      </c>
      <c r="G82" s="82">
        <f>G64*G7/365</f>
        <v>239551.80258082188</v>
      </c>
      <c r="H82" s="76">
        <f>H64*H7/365</f>
        <v>259434.60219503014</v>
      </c>
      <c r="I82" s="76">
        <f>I64*I7/365</f>
        <v>275367.87807137717</v>
      </c>
      <c r="J82" s="76">
        <f>J64*J7/365</f>
        <v>287759.43258458917</v>
      </c>
      <c r="K82" s="83">
        <f>K64*K7/365</f>
        <v>297543.25329246518</v>
      </c>
    </row>
    <row r="83" spans="1:11" x14ac:dyDescent="0.2">
      <c r="A83" s="80" t="s">
        <v>705</v>
      </c>
      <c r="B83" s="1044">
        <f>'7 Rozvaha'!C46</f>
        <v>30044</v>
      </c>
      <c r="C83" s="745">
        <f>'7 Rozvaha'!D46</f>
        <v>34970</v>
      </c>
      <c r="D83" s="745">
        <f>'7 Rozvaha'!E46</f>
        <v>19580</v>
      </c>
      <c r="E83" s="745">
        <f>'7 Rozvaha'!F46</f>
        <v>13574</v>
      </c>
      <c r="F83" s="1045">
        <f>'7 Rozvaha'!G46</f>
        <v>11916</v>
      </c>
      <c r="G83" s="755">
        <f>$F$83</f>
        <v>11916</v>
      </c>
      <c r="H83" s="745">
        <f>$F$83</f>
        <v>11916</v>
      </c>
      <c r="I83" s="745">
        <f>$F$83</f>
        <v>11916</v>
      </c>
      <c r="J83" s="745">
        <f>$F$83</f>
        <v>11916</v>
      </c>
      <c r="K83" s="749">
        <f>$F$83</f>
        <v>11916</v>
      </c>
    </row>
    <row r="84" spans="1:11" s="1" customFormat="1" ht="13.5" thickBot="1" x14ac:dyDescent="0.25">
      <c r="A84" s="48" t="s">
        <v>180</v>
      </c>
      <c r="B84" s="144">
        <f>SUM(B78:B81)-SUM(B82:B83)</f>
        <v>18889.327000000048</v>
      </c>
      <c r="C84" s="143">
        <f t="shared" ref="C84:J84" si="20">SUM(C78:C81)-SUM(C82:C83)</f>
        <v>6147.2677486999892</v>
      </c>
      <c r="D84" s="143">
        <f t="shared" si="20"/>
        <v>16083</v>
      </c>
      <c r="E84" s="143">
        <f t="shared" si="20"/>
        <v>19720.5</v>
      </c>
      <c r="F84" s="146">
        <f t="shared" si="20"/>
        <v>36723.100000000006</v>
      </c>
      <c r="G84" s="711">
        <f t="shared" si="20"/>
        <v>40973.947343287669</v>
      </c>
      <c r="H84" s="712">
        <f t="shared" si="20"/>
        <v>50863.444259832555</v>
      </c>
      <c r="I84" s="712">
        <f t="shared" si="20"/>
        <v>66456.661242225557</v>
      </c>
      <c r="J84" s="712">
        <f t="shared" si="20"/>
        <v>69358.5609981257</v>
      </c>
      <c r="K84" s="713">
        <f>SUM(K78:K81)-SUM(K82:K83)</f>
        <v>71649.772072062013</v>
      </c>
    </row>
    <row r="85" spans="1:11" ht="13.5" thickBot="1" x14ac:dyDescent="0.25">
      <c r="A85" s="714" t="s">
        <v>200</v>
      </c>
      <c r="B85" s="1536">
        <f>(F84-B84)/(F7-B7)</f>
        <v>2.8976519848697483E-2</v>
      </c>
      <c r="C85" s="1537"/>
      <c r="D85" s="1537"/>
      <c r="E85" s="1537"/>
      <c r="F85" s="1538"/>
      <c r="G85" s="1536">
        <f>(K84-F84)/(K7-F7)</f>
        <v>4.8812035154748655E-2</v>
      </c>
      <c r="H85" s="1537"/>
      <c r="I85" s="1537"/>
      <c r="J85" s="1537"/>
      <c r="K85" s="1538"/>
    </row>
    <row r="86" spans="1:11" ht="24" customHeight="1" x14ac:dyDescent="0.2">
      <c r="F86" s="154"/>
      <c r="G86" s="154"/>
      <c r="H86" s="154"/>
      <c r="I86" s="154"/>
      <c r="J86" s="154"/>
    </row>
    <row r="87" spans="1:11" ht="15.75" x14ac:dyDescent="0.25">
      <c r="A87" s="673" t="s">
        <v>634</v>
      </c>
    </row>
    <row r="88" spans="1:11" ht="15.75" x14ac:dyDescent="0.25">
      <c r="A88" s="673"/>
    </row>
    <row r="89" spans="1:11" ht="15.75" x14ac:dyDescent="0.3">
      <c r="A89" s="1357" t="s">
        <v>820</v>
      </c>
      <c r="B89" s="241"/>
      <c r="C89" s="241"/>
      <c r="D89" s="241"/>
      <c r="E89" s="241"/>
      <c r="F89" s="79"/>
    </row>
    <row r="91" spans="1:11" x14ac:dyDescent="0.2">
      <c r="A91" s="674" t="s">
        <v>464</v>
      </c>
    </row>
    <row r="92" spans="1:11" ht="9" customHeight="1" x14ac:dyDescent="0.2">
      <c r="A92" s="674"/>
    </row>
    <row r="93" spans="1:11" s="66" customFormat="1" x14ac:dyDescent="0.2">
      <c r="A93" s="730" t="s">
        <v>817</v>
      </c>
      <c r="B93" s="730"/>
      <c r="C93" s="731">
        <f>SUM(C7:F7)</f>
        <v>7546998</v>
      </c>
    </row>
    <row r="94" spans="1:11" s="66" customFormat="1" ht="13.5" thickBot="1" x14ac:dyDescent="0.25">
      <c r="A94" s="730"/>
      <c r="B94" s="730"/>
      <c r="C94" s="731"/>
    </row>
    <row r="95" spans="1:11" ht="13.5" thickBot="1" x14ac:dyDescent="0.25">
      <c r="A95" s="651"/>
      <c r="B95" s="550">
        <f>B4</f>
        <v>2012</v>
      </c>
      <c r="C95" s="551">
        <f>C4</f>
        <v>2013</v>
      </c>
      <c r="D95" s="551">
        <f>D4</f>
        <v>2014</v>
      </c>
      <c r="E95" s="551">
        <f>E4</f>
        <v>2015</v>
      </c>
      <c r="F95" s="626">
        <f>F4</f>
        <v>2016</v>
      </c>
    </row>
    <row r="96" spans="1:11" x14ac:dyDescent="0.2">
      <c r="A96" s="85" t="s">
        <v>185</v>
      </c>
      <c r="B96" s="71"/>
      <c r="C96" s="71"/>
      <c r="D96" s="71"/>
      <c r="E96" s="71"/>
      <c r="F96" s="72"/>
    </row>
    <row r="97" spans="1:9" x14ac:dyDescent="0.2">
      <c r="A97" s="80" t="s">
        <v>186</v>
      </c>
      <c r="B97" s="82">
        <f>'7 Rozvaha'!C6</f>
        <v>648</v>
      </c>
      <c r="C97" s="76">
        <f>'7 Rozvaha'!D6</f>
        <v>992</v>
      </c>
      <c r="D97" s="76">
        <f>'7 Rozvaha'!E6</f>
        <v>1702</v>
      </c>
      <c r="E97" s="76">
        <f>'7 Rozvaha'!F6</f>
        <v>1874</v>
      </c>
      <c r="F97" s="83">
        <f>'7 Rozvaha'!G6</f>
        <v>2164</v>
      </c>
    </row>
    <row r="98" spans="1:9" x14ac:dyDescent="0.2">
      <c r="A98" s="81" t="s">
        <v>168</v>
      </c>
      <c r="B98" s="84"/>
      <c r="C98" s="76">
        <f>B97/C97*D98</f>
        <v>398.68943436499467</v>
      </c>
      <c r="D98" s="76">
        <f>C97/D97*E98</f>
        <v>610.33938100320177</v>
      </c>
      <c r="E98" s="76">
        <f>D97/E97*F98</f>
        <v>1047.1750266808965</v>
      </c>
      <c r="F98" s="83">
        <v>1153</v>
      </c>
    </row>
    <row r="99" spans="1:9" ht="15.75" x14ac:dyDescent="0.25">
      <c r="A99" s="81" t="s">
        <v>176</v>
      </c>
      <c r="B99" s="84"/>
      <c r="C99" s="76">
        <f>'7 Rozvaha'!D6-'7 Rozvaha'!C6</f>
        <v>344</v>
      </c>
      <c r="D99" s="76">
        <f>'7 Rozvaha'!E6-'7 Rozvaha'!D6</f>
        <v>710</v>
      </c>
      <c r="E99" s="76">
        <f>'7 Rozvaha'!F6-'7 Rozvaha'!E6</f>
        <v>172</v>
      </c>
      <c r="F99" s="83">
        <f>'7 Rozvaha'!G6-'7 Rozvaha'!F6</f>
        <v>290</v>
      </c>
      <c r="I99" s="1060"/>
    </row>
    <row r="100" spans="1:9" x14ac:dyDescent="0.2">
      <c r="A100" s="81" t="s">
        <v>184</v>
      </c>
      <c r="B100" s="84"/>
      <c r="C100" s="76">
        <f>C99+C98</f>
        <v>742.68943436499467</v>
      </c>
      <c r="D100" s="76">
        <f>D99+D98</f>
        <v>1320.3393810032017</v>
      </c>
      <c r="E100" s="76">
        <f>E99+E98</f>
        <v>1219.1750266808965</v>
      </c>
      <c r="F100" s="83">
        <f>F99+F98</f>
        <v>1443</v>
      </c>
    </row>
    <row r="101" spans="1:9" ht="13.5" thickBot="1" x14ac:dyDescent="0.25">
      <c r="A101" s="729" t="s">
        <v>818</v>
      </c>
      <c r="B101" s="1533">
        <f>SUM(C100:F100)/$C$93</f>
        <v>6.261037623236541E-4</v>
      </c>
      <c r="C101" s="1534"/>
      <c r="D101" s="1534"/>
      <c r="E101" s="1534"/>
      <c r="F101" s="1535"/>
      <c r="G101" s="12"/>
    </row>
    <row r="102" spans="1:9" x14ac:dyDescent="0.2">
      <c r="A102" s="85" t="s">
        <v>9</v>
      </c>
      <c r="B102" s="71"/>
      <c r="C102" s="71"/>
      <c r="D102" s="71"/>
      <c r="E102" s="71"/>
      <c r="F102" s="72"/>
    </row>
    <row r="103" spans="1:9" s="66" customFormat="1" x14ac:dyDescent="0.2">
      <c r="A103" s="80" t="s">
        <v>186</v>
      </c>
      <c r="B103" s="82">
        <f>'7 Rozvaha'!C9</f>
        <v>317466</v>
      </c>
      <c r="C103" s="76">
        <f>'7 Rozvaha'!D9</f>
        <v>352702</v>
      </c>
      <c r="D103" s="76">
        <f>'7 Rozvaha'!E9</f>
        <v>336494</v>
      </c>
      <c r="E103" s="76">
        <f>'7 Rozvaha'!F9</f>
        <v>329438</v>
      </c>
      <c r="F103" s="83">
        <f>'7 Rozvaha'!G9</f>
        <v>351000</v>
      </c>
    </row>
    <row r="104" spans="1:9" x14ac:dyDescent="0.2">
      <c r="A104" s="81" t="s">
        <v>168</v>
      </c>
      <c r="B104" s="84"/>
      <c r="C104" s="76">
        <v>15989</v>
      </c>
      <c r="D104" s="76">
        <v>16208</v>
      </c>
      <c r="E104" s="76">
        <v>15907</v>
      </c>
      <c r="F104" s="83">
        <v>16500</v>
      </c>
    </row>
    <row r="105" spans="1:9" x14ac:dyDescent="0.2">
      <c r="A105" s="81" t="s">
        <v>176</v>
      </c>
      <c r="B105" s="84"/>
      <c r="C105" s="76">
        <f>'7 Rozvaha'!D9-'7 Rozvaha'!C9</f>
        <v>35236</v>
      </c>
      <c r="D105" s="76">
        <f>'7 Rozvaha'!E9-'7 Rozvaha'!D9</f>
        <v>-16208</v>
      </c>
      <c r="E105" s="76">
        <f>'7 Rozvaha'!F9-'7 Rozvaha'!E9</f>
        <v>-7056</v>
      </c>
      <c r="F105" s="83">
        <f>'7 Rozvaha'!G9-'7 Rozvaha'!F9</f>
        <v>21562</v>
      </c>
    </row>
    <row r="106" spans="1:9" x14ac:dyDescent="0.2">
      <c r="A106" s="81" t="s">
        <v>184</v>
      </c>
      <c r="B106" s="84"/>
      <c r="C106" s="76">
        <f>C105+C104</f>
        <v>51225</v>
      </c>
      <c r="D106" s="76">
        <f>D105+D104</f>
        <v>0</v>
      </c>
      <c r="E106" s="76">
        <f>E105+E104</f>
        <v>8851</v>
      </c>
      <c r="F106" s="83">
        <f>F105+F104</f>
        <v>38062</v>
      </c>
    </row>
    <row r="107" spans="1:9" ht="13.5" thickBot="1" x14ac:dyDescent="0.25">
      <c r="A107" s="729" t="s">
        <v>818</v>
      </c>
      <c r="B107" s="1533">
        <f>SUM(C106:F106)/$C$93</f>
        <v>1.3003581026522069E-2</v>
      </c>
      <c r="C107" s="1534"/>
      <c r="D107" s="1534"/>
      <c r="E107" s="1534"/>
      <c r="F107" s="1535"/>
      <c r="G107" s="12"/>
    </row>
    <row r="108" spans="1:9" x14ac:dyDescent="0.2">
      <c r="A108" s="85" t="s">
        <v>771</v>
      </c>
      <c r="F108" s="64"/>
    </row>
    <row r="109" spans="1:9" s="66" customFormat="1" x14ac:dyDescent="0.2">
      <c r="A109" s="80" t="s">
        <v>186</v>
      </c>
      <c r="B109" s="82">
        <f>'7 Rozvaha'!C10</f>
        <v>38206</v>
      </c>
      <c r="C109" s="76">
        <f>'7 Rozvaha'!D10</f>
        <v>69476</v>
      </c>
      <c r="D109" s="76">
        <f>'7 Rozvaha'!E10</f>
        <v>80660</v>
      </c>
      <c r="E109" s="76">
        <f>'7 Rozvaha'!F10</f>
        <v>72646</v>
      </c>
      <c r="F109" s="83">
        <f>'7 Rozvaha'!G10</f>
        <v>84500</v>
      </c>
    </row>
    <row r="110" spans="1:9" x14ac:dyDescent="0.2">
      <c r="A110" s="81" t="s">
        <v>168</v>
      </c>
      <c r="B110" s="84"/>
      <c r="C110" s="76">
        <f>'8 Výsledovka'!E13-C98-C104</f>
        <v>6708.3105656350053</v>
      </c>
      <c r="D110" s="76">
        <f>'8 Výsledovka'!F13-D98-D104</f>
        <v>18821.660618996801</v>
      </c>
      <c r="E110" s="76">
        <f>'8 Výsledovka'!G13-E98-E104</f>
        <v>28355.824973319104</v>
      </c>
      <c r="F110" s="83">
        <f>'8 Výsledovka'!H13-F98-F104</f>
        <v>27719</v>
      </c>
    </row>
    <row r="111" spans="1:9" x14ac:dyDescent="0.2">
      <c r="A111" s="81" t="s">
        <v>198</v>
      </c>
      <c r="B111" s="84"/>
      <c r="C111" s="76"/>
      <c r="D111" s="76"/>
      <c r="E111" s="76">
        <f>'8 Výsledovka'!G18</f>
        <v>6656</v>
      </c>
      <c r="F111" s="83"/>
    </row>
    <row r="112" spans="1:9" x14ac:dyDescent="0.2">
      <c r="A112" s="81" t="s">
        <v>176</v>
      </c>
      <c r="B112" s="84"/>
      <c r="C112" s="76">
        <f>'7 Rozvaha'!D10-'7 Rozvaha'!C10</f>
        <v>31270</v>
      </c>
      <c r="D112" s="76">
        <f>'7 Rozvaha'!E10-'7 Rozvaha'!D10</f>
        <v>11184</v>
      </c>
      <c r="E112" s="76">
        <f>'7 Rozvaha'!F10-'7 Rozvaha'!E10</f>
        <v>-8014</v>
      </c>
      <c r="F112" s="83">
        <f>'7 Rozvaha'!G10-'7 Rozvaha'!F10</f>
        <v>11854</v>
      </c>
    </row>
    <row r="113" spans="1:7" x14ac:dyDescent="0.2">
      <c r="A113" s="81" t="s">
        <v>184</v>
      </c>
      <c r="B113" s="84"/>
      <c r="C113" s="76">
        <f>C112+C110</f>
        <v>37978.310565635009</v>
      </c>
      <c r="D113" s="76">
        <f>D112+D110</f>
        <v>30005.660618996801</v>
      </c>
      <c r="E113" s="76">
        <f>E112+E110+E111</f>
        <v>26997.824973319104</v>
      </c>
      <c r="F113" s="83">
        <f>F112+F110</f>
        <v>39573</v>
      </c>
    </row>
    <row r="114" spans="1:7" ht="13.5" thickBot="1" x14ac:dyDescent="0.25">
      <c r="A114" s="729" t="s">
        <v>818</v>
      </c>
      <c r="B114" s="1533">
        <f>SUM(C113:F113)/$C$93</f>
        <v>1.7828916366209573E-2</v>
      </c>
      <c r="C114" s="1534"/>
      <c r="D114" s="1534"/>
      <c r="E114" s="1534"/>
      <c r="F114" s="1535"/>
      <c r="G114" s="12"/>
    </row>
    <row r="115" spans="1:7" x14ac:dyDescent="0.2">
      <c r="C115" s="12"/>
      <c r="D115" s="12"/>
      <c r="E115" s="12"/>
      <c r="F115" s="12"/>
      <c r="G115" s="12"/>
    </row>
    <row r="116" spans="1:7" x14ac:dyDescent="0.2">
      <c r="A116" s="674" t="s">
        <v>465</v>
      </c>
      <c r="C116" s="12"/>
      <c r="D116" s="12"/>
      <c r="E116" s="12"/>
      <c r="F116" s="12"/>
    </row>
    <row r="117" spans="1:7" ht="8.25" customHeight="1" x14ac:dyDescent="0.2">
      <c r="A117" s="674"/>
      <c r="C117" s="12"/>
      <c r="D117" s="12"/>
      <c r="E117" s="12"/>
      <c r="F117" s="12"/>
    </row>
    <row r="118" spans="1:7" s="66" customFormat="1" x14ac:dyDescent="0.2">
      <c r="A118" s="730" t="s">
        <v>819</v>
      </c>
      <c r="C118" s="731">
        <f>SUM(G7:K7)</f>
        <v>12683897.800457101</v>
      </c>
    </row>
    <row r="119" spans="1:7" s="66" customFormat="1" x14ac:dyDescent="0.2">
      <c r="C119" s="86"/>
    </row>
    <row r="120" spans="1:7" s="66" customFormat="1" x14ac:dyDescent="0.2">
      <c r="A120" s="1" t="s">
        <v>188</v>
      </c>
      <c r="C120" s="86"/>
    </row>
    <row r="121" spans="1:7" ht="26.25" customHeight="1" x14ac:dyDescent="0.2">
      <c r="A121" s="735" t="s">
        <v>187</v>
      </c>
      <c r="B121" s="1524" t="s">
        <v>190</v>
      </c>
      <c r="C121" s="1524"/>
      <c r="D121" s="1524" t="s">
        <v>811</v>
      </c>
      <c r="E121" s="1524"/>
      <c r="F121" s="1524"/>
    </row>
    <row r="122" spans="1:7" x14ac:dyDescent="0.2">
      <c r="A122" s="77" t="s">
        <v>185</v>
      </c>
      <c r="B122" s="1527">
        <f>ROUND(B101,3)</f>
        <v>1E-3</v>
      </c>
      <c r="C122" s="1523"/>
      <c r="D122" s="89"/>
      <c r="E122" s="90">
        <f>B122*$C$118</f>
        <v>12683.897800457102</v>
      </c>
      <c r="F122" s="78"/>
    </row>
    <row r="123" spans="1:7" x14ac:dyDescent="0.2">
      <c r="A123" s="77" t="s">
        <v>9</v>
      </c>
      <c r="B123" s="1527">
        <f>ROUND(B107,3)</f>
        <v>1.2999999999999999E-2</v>
      </c>
      <c r="C123" s="1523"/>
      <c r="D123" s="89"/>
      <c r="E123" s="90">
        <f>B123*$C$118</f>
        <v>164890.6714059423</v>
      </c>
      <c r="F123" s="78"/>
    </row>
    <row r="124" spans="1:7" x14ac:dyDescent="0.2">
      <c r="A124" s="77" t="s">
        <v>771</v>
      </c>
      <c r="B124" s="1527">
        <f>ROUND(B114,3)</f>
        <v>1.7999999999999999E-2</v>
      </c>
      <c r="C124" s="1523"/>
      <c r="D124" s="89"/>
      <c r="E124" s="90">
        <f>B124*$C$118</f>
        <v>228310.16040822782</v>
      </c>
      <c r="F124" s="78"/>
    </row>
    <row r="125" spans="1:7" x14ac:dyDescent="0.2">
      <c r="A125" s="87" t="s">
        <v>108</v>
      </c>
      <c r="B125" s="1544">
        <f>SUM(B122:C124)</f>
        <v>3.2000000000000001E-2</v>
      </c>
      <c r="C125" s="1541"/>
      <c r="D125" s="91"/>
      <c r="E125" s="92">
        <f>B125*$C$118</f>
        <v>405884.72961462726</v>
      </c>
      <c r="F125" s="78"/>
    </row>
    <row r="127" spans="1:7" s="66" customFormat="1" x14ac:dyDescent="0.2">
      <c r="A127" s="1" t="s">
        <v>189</v>
      </c>
      <c r="C127" s="86"/>
    </row>
    <row r="128" spans="1:7" ht="26.25" customHeight="1" x14ac:dyDescent="0.2">
      <c r="A128" s="735" t="s">
        <v>187</v>
      </c>
      <c r="B128" s="1524" t="s">
        <v>191</v>
      </c>
      <c r="C128" s="1524"/>
      <c r="D128" s="1524" t="s">
        <v>811</v>
      </c>
      <c r="E128" s="1524"/>
      <c r="F128" s="1524"/>
    </row>
    <row r="129" spans="1:8" x14ac:dyDescent="0.2">
      <c r="A129" s="77" t="s">
        <v>185</v>
      </c>
      <c r="B129" s="1527">
        <v>2E-3</v>
      </c>
      <c r="C129" s="1523"/>
      <c r="D129" s="89"/>
      <c r="E129" s="90">
        <f>B129*$C$118</f>
        <v>25367.795600914204</v>
      </c>
      <c r="F129" s="78"/>
    </row>
    <row r="130" spans="1:8" x14ac:dyDescent="0.2">
      <c r="A130" s="77" t="s">
        <v>9</v>
      </c>
      <c r="B130" s="1527">
        <v>1.4999999999999999E-2</v>
      </c>
      <c r="C130" s="1523"/>
      <c r="D130" s="89"/>
      <c r="E130" s="90">
        <f>B130*$C$118</f>
        <v>190258.46700685652</v>
      </c>
      <c r="F130" s="78"/>
    </row>
    <row r="131" spans="1:8" x14ac:dyDescent="0.2">
      <c r="A131" s="77" t="s">
        <v>771</v>
      </c>
      <c r="B131" s="1527">
        <v>2.1000000000000001E-2</v>
      </c>
      <c r="C131" s="1523"/>
      <c r="D131" s="89"/>
      <c r="E131" s="90">
        <f>B131*$C$118</f>
        <v>266361.85380959912</v>
      </c>
      <c r="F131" s="78"/>
    </row>
    <row r="132" spans="1:8" x14ac:dyDescent="0.2">
      <c r="A132" s="87" t="s">
        <v>108</v>
      </c>
      <c r="B132" s="1544">
        <f>SUM(B129:C131)</f>
        <v>3.8000000000000006E-2</v>
      </c>
      <c r="C132" s="1541"/>
      <c r="D132" s="91"/>
      <c r="E132" s="92">
        <f>B132*$C$118</f>
        <v>481988.11641736992</v>
      </c>
      <c r="F132" s="78"/>
    </row>
    <row r="134" spans="1:8" x14ac:dyDescent="0.2">
      <c r="A134" s="1" t="s">
        <v>192</v>
      </c>
      <c r="B134" s="67"/>
    </row>
    <row r="135" spans="1:8" ht="27" customHeight="1" x14ac:dyDescent="0.2">
      <c r="A135" s="736" t="s">
        <v>187</v>
      </c>
      <c r="B135" s="1532"/>
      <c r="C135" s="1524"/>
      <c r="D135" s="1524" t="s">
        <v>811</v>
      </c>
      <c r="E135" s="1524"/>
      <c r="F135" s="1524"/>
    </row>
    <row r="136" spans="1:8" x14ac:dyDescent="0.2">
      <c r="A136" s="89" t="s">
        <v>185</v>
      </c>
      <c r="B136" s="1522"/>
      <c r="C136" s="1523"/>
      <c r="D136" s="89"/>
      <c r="E136" s="90">
        <v>15000</v>
      </c>
      <c r="F136" s="78"/>
    </row>
    <row r="137" spans="1:8" x14ac:dyDescent="0.2">
      <c r="A137" s="89" t="s">
        <v>9</v>
      </c>
      <c r="B137" s="1522"/>
      <c r="C137" s="1523"/>
      <c r="D137" s="89"/>
      <c r="E137" s="90">
        <v>150000</v>
      </c>
      <c r="F137" s="78"/>
    </row>
    <row r="138" spans="1:8" x14ac:dyDescent="0.2">
      <c r="A138" s="89" t="s">
        <v>771</v>
      </c>
      <c r="B138" s="1522"/>
      <c r="C138" s="1523"/>
      <c r="D138" s="89"/>
      <c r="E138" s="90">
        <v>230000</v>
      </c>
      <c r="F138" s="78"/>
    </row>
    <row r="139" spans="1:8" x14ac:dyDescent="0.2">
      <c r="A139" s="91" t="s">
        <v>108</v>
      </c>
      <c r="B139" s="1540"/>
      <c r="C139" s="1541"/>
      <c r="D139" s="91"/>
      <c r="E139" s="92">
        <f>SUM(E136:E138)</f>
        <v>395000</v>
      </c>
      <c r="F139" s="78"/>
    </row>
    <row r="141" spans="1:8" x14ac:dyDescent="0.2">
      <c r="A141" s="1" t="s">
        <v>193</v>
      </c>
    </row>
    <row r="142" spans="1:8" ht="26.25" customHeight="1" x14ac:dyDescent="0.2">
      <c r="A142" s="736" t="s">
        <v>187</v>
      </c>
      <c r="B142" s="1532"/>
      <c r="C142" s="1524"/>
      <c r="D142" s="1524" t="s">
        <v>811</v>
      </c>
      <c r="E142" s="1524"/>
      <c r="F142" s="1524"/>
    </row>
    <row r="143" spans="1:8" x14ac:dyDescent="0.2">
      <c r="A143" s="89" t="s">
        <v>185</v>
      </c>
      <c r="B143" s="1522"/>
      <c r="C143" s="1523"/>
      <c r="D143" s="89"/>
      <c r="E143" s="90">
        <f>ROUND((E136+E129)/2,0)</f>
        <v>20184</v>
      </c>
      <c r="F143" s="78"/>
    </row>
    <row r="144" spans="1:8" ht="15.75" x14ac:dyDescent="0.25">
      <c r="A144" s="89" t="s">
        <v>9</v>
      </c>
      <c r="B144" s="1522"/>
      <c r="C144" s="1523"/>
      <c r="D144" s="89"/>
      <c r="E144" s="90">
        <f>ROUND((E137+E130)/2,0)</f>
        <v>170129</v>
      </c>
      <c r="F144" s="78"/>
      <c r="H144" s="1060"/>
    </row>
    <row r="145" spans="1:8" x14ac:dyDescent="0.2">
      <c r="A145" s="89" t="s">
        <v>771</v>
      </c>
      <c r="B145" s="1522"/>
      <c r="C145" s="1523"/>
      <c r="D145" s="89"/>
      <c r="E145" s="90">
        <f>ROUND((E138+E131)/2,0)</f>
        <v>248181</v>
      </c>
      <c r="F145" s="78"/>
    </row>
    <row r="146" spans="1:8" x14ac:dyDescent="0.2">
      <c r="A146" s="91" t="s">
        <v>108</v>
      </c>
      <c r="B146" s="1540"/>
      <c r="C146" s="1541"/>
      <c r="D146" s="91"/>
      <c r="E146" s="92">
        <f>SUM(E143:E145)</f>
        <v>438494</v>
      </c>
      <c r="F146" s="78"/>
    </row>
    <row r="147" spans="1:8" x14ac:dyDescent="0.2">
      <c r="A147" s="732" t="s">
        <v>892</v>
      </c>
      <c r="B147" s="733"/>
      <c r="C147" s="734"/>
      <c r="D147" s="732"/>
      <c r="E147" s="1014">
        <f>E146/C118</f>
        <v>3.4570918726907242E-2</v>
      </c>
      <c r="F147" s="1015"/>
    </row>
    <row r="148" spans="1:8" x14ac:dyDescent="0.2">
      <c r="A148" s="1"/>
      <c r="B148" s="155"/>
      <c r="C148" s="8"/>
      <c r="D148" s="1"/>
      <c r="E148" s="17"/>
      <c r="F148" s="12"/>
      <c r="G148" s="17"/>
    </row>
    <row r="150" spans="1:8" ht="13.5" thickBot="1" x14ac:dyDescent="0.25">
      <c r="A150" s="674" t="s">
        <v>466</v>
      </c>
    </row>
    <row r="151" spans="1:8" ht="39" thickBot="1" x14ac:dyDescent="0.25">
      <c r="A151" s="651"/>
      <c r="B151" s="1009">
        <f>F4</f>
        <v>2016</v>
      </c>
      <c r="C151" s="1010">
        <f>B151+1</f>
        <v>2017</v>
      </c>
      <c r="D151" s="1011">
        <f>C151+1</f>
        <v>2018</v>
      </c>
      <c r="E151" s="1011">
        <f>D151+1</f>
        <v>2019</v>
      </c>
      <c r="F151" s="1011">
        <f>E151+1</f>
        <v>2020</v>
      </c>
      <c r="G151" s="1012">
        <f>F151+1</f>
        <v>2021</v>
      </c>
      <c r="H151" s="1013" t="s">
        <v>782</v>
      </c>
    </row>
    <row r="152" spans="1:8" ht="13.5" thickBot="1" x14ac:dyDescent="0.25">
      <c r="A152" s="1" t="s">
        <v>185</v>
      </c>
    </row>
    <row r="153" spans="1:8" x14ac:dyDescent="0.2">
      <c r="A153" s="176" t="s">
        <v>651</v>
      </c>
      <c r="B153" s="743">
        <f>F98</f>
        <v>1153</v>
      </c>
      <c r="C153" s="752">
        <f>B153</f>
        <v>1153</v>
      </c>
      <c r="D153" s="494">
        <f>C154</f>
        <v>1011</v>
      </c>
      <c r="E153" s="642"/>
      <c r="F153" s="642"/>
      <c r="G153" s="643"/>
    </row>
    <row r="154" spans="1:8" s="66" customFormat="1" ht="13.5" thickBot="1" x14ac:dyDescent="0.25">
      <c r="A154" s="740" t="s">
        <v>823</v>
      </c>
      <c r="B154" s="741">
        <f>F97</f>
        <v>2164</v>
      </c>
      <c r="C154" s="750">
        <f>B154-C153</f>
        <v>1011</v>
      </c>
      <c r="D154" s="742">
        <v>0</v>
      </c>
      <c r="E154" s="742">
        <v>0</v>
      </c>
      <c r="F154" s="742">
        <v>0</v>
      </c>
      <c r="G154" s="151">
        <v>0</v>
      </c>
    </row>
    <row r="155" spans="1:8" ht="13.5" thickBot="1" x14ac:dyDescent="0.25">
      <c r="A155" s="1068" t="s">
        <v>822</v>
      </c>
      <c r="B155" s="172"/>
      <c r="C155" s="514">
        <v>3524</v>
      </c>
      <c r="D155" s="495">
        <v>3892</v>
      </c>
      <c r="E155" s="495">
        <v>2854</v>
      </c>
      <c r="F155" s="495">
        <v>4283</v>
      </c>
      <c r="G155" s="746">
        <f>E143-SUM(C155:F155)</f>
        <v>5631</v>
      </c>
      <c r="H155" s="1358">
        <f>SUM(C155:G155)</f>
        <v>20184</v>
      </c>
    </row>
    <row r="156" spans="1:8" x14ac:dyDescent="0.2">
      <c r="A156" s="172" t="s">
        <v>609</v>
      </c>
      <c r="B156" s="172"/>
      <c r="C156" s="514">
        <f>B156+C155</f>
        <v>3524</v>
      </c>
      <c r="D156" s="495">
        <f>C156+D155</f>
        <v>7416</v>
      </c>
      <c r="E156" s="495">
        <f>D156+E155</f>
        <v>10270</v>
      </c>
      <c r="F156" s="495">
        <f>E156+F155</f>
        <v>14553</v>
      </c>
      <c r="G156" s="746">
        <f>F156+G155</f>
        <v>20184</v>
      </c>
    </row>
    <row r="157" spans="1:8" x14ac:dyDescent="0.2">
      <c r="A157" s="172" t="s">
        <v>644</v>
      </c>
      <c r="B157" s="172"/>
      <c r="C157" s="514">
        <f>B156/4</f>
        <v>0</v>
      </c>
      <c r="D157" s="495">
        <f>C156/4</f>
        <v>881</v>
      </c>
      <c r="E157" s="495">
        <f>D156/4</f>
        <v>1854</v>
      </c>
      <c r="F157" s="495">
        <f>E156/4</f>
        <v>2567.5</v>
      </c>
      <c r="G157" s="746">
        <f>F156/4</f>
        <v>3638.25</v>
      </c>
    </row>
    <row r="158" spans="1:8" x14ac:dyDescent="0.2">
      <c r="A158" s="1068" t="s">
        <v>821</v>
      </c>
      <c r="B158" s="172"/>
      <c r="C158" s="514">
        <f>C155-C153-C157</f>
        <v>2371</v>
      </c>
      <c r="D158" s="495">
        <f>D155-D153-D157</f>
        <v>2000</v>
      </c>
      <c r="E158" s="495">
        <f>E155-E153-E157</f>
        <v>1000</v>
      </c>
      <c r="F158" s="495">
        <f>F155-F153-F157</f>
        <v>1715.5</v>
      </c>
      <c r="G158" s="746">
        <f>G155-G153-G157</f>
        <v>1992.75</v>
      </c>
    </row>
    <row r="159" spans="1:8" x14ac:dyDescent="0.2">
      <c r="A159" s="744" t="s">
        <v>196</v>
      </c>
      <c r="B159" s="748">
        <f t="shared" ref="B159:G159" si="21">B153+B157</f>
        <v>1153</v>
      </c>
      <c r="C159" s="755">
        <f t="shared" si="21"/>
        <v>1153</v>
      </c>
      <c r="D159" s="745">
        <f t="shared" si="21"/>
        <v>1892</v>
      </c>
      <c r="E159" s="745">
        <f t="shared" si="21"/>
        <v>1854</v>
      </c>
      <c r="F159" s="745">
        <f t="shared" si="21"/>
        <v>2567.5</v>
      </c>
      <c r="G159" s="749">
        <f t="shared" si="21"/>
        <v>3638.25</v>
      </c>
    </row>
    <row r="160" spans="1:8" ht="13.5" thickBot="1" x14ac:dyDescent="0.25">
      <c r="A160" s="75" t="s">
        <v>195</v>
      </c>
      <c r="B160" s="747">
        <f>B154</f>
        <v>2164</v>
      </c>
      <c r="C160" s="515">
        <f>B160+C158</f>
        <v>4535</v>
      </c>
      <c r="D160" s="496">
        <f>C160+D158</f>
        <v>6535</v>
      </c>
      <c r="E160" s="496">
        <f>D160+E158</f>
        <v>7535</v>
      </c>
      <c r="F160" s="496">
        <f>E160+F158</f>
        <v>9250.5</v>
      </c>
      <c r="G160" s="833">
        <f>F160+G158</f>
        <v>11243.25</v>
      </c>
    </row>
    <row r="161" spans="1:8" ht="13.5" thickBot="1" x14ac:dyDescent="0.25">
      <c r="A161" s="1" t="s">
        <v>9</v>
      </c>
      <c r="B161" s="1"/>
    </row>
    <row r="162" spans="1:8" x14ac:dyDescent="0.2">
      <c r="A162" s="176" t="s">
        <v>197</v>
      </c>
      <c r="B162" s="743">
        <f>F104</f>
        <v>16500</v>
      </c>
      <c r="C162" s="752">
        <f>B162</f>
        <v>16500</v>
      </c>
      <c r="D162" s="753">
        <f>C162</f>
        <v>16500</v>
      </c>
      <c r="E162" s="753">
        <f>D162</f>
        <v>16500</v>
      </c>
      <c r="F162" s="753">
        <f>E162</f>
        <v>16500</v>
      </c>
      <c r="G162" s="754">
        <f>F162</f>
        <v>16500</v>
      </c>
    </row>
    <row r="163" spans="1:8" ht="13.5" thickBot="1" x14ac:dyDescent="0.25">
      <c r="A163" s="740" t="s">
        <v>823</v>
      </c>
      <c r="B163" s="741">
        <f>F103</f>
        <v>351000</v>
      </c>
      <c r="C163" s="750">
        <f>B163-C162</f>
        <v>334500</v>
      </c>
      <c r="D163" s="742">
        <f>C163-D162</f>
        <v>318000</v>
      </c>
      <c r="E163" s="742">
        <f>D163-E162</f>
        <v>301500</v>
      </c>
      <c r="F163" s="742">
        <f>E163-F162</f>
        <v>285000</v>
      </c>
      <c r="G163" s="751">
        <f>F163-G162</f>
        <v>268500</v>
      </c>
    </row>
    <row r="164" spans="1:8" s="66" customFormat="1" ht="13.5" thickBot="1" x14ac:dyDescent="0.25">
      <c r="A164" s="1068" t="s">
        <v>822</v>
      </c>
      <c r="B164" s="1069"/>
      <c r="C164" s="1070">
        <f>$E$144/5</f>
        <v>34025.800000000003</v>
      </c>
      <c r="D164" s="1070">
        <f>$E$144/5</f>
        <v>34025.800000000003</v>
      </c>
      <c r="E164" s="1070">
        <f>$E$144/5</f>
        <v>34025.800000000003</v>
      </c>
      <c r="F164" s="1070">
        <f>$E$144/5</f>
        <v>34025.800000000003</v>
      </c>
      <c r="G164" s="1072">
        <f>E144-SUM(C164:F164)</f>
        <v>34025.799999999988</v>
      </c>
      <c r="H164" s="1358">
        <f>SUM(C164:G164)</f>
        <v>170129</v>
      </c>
    </row>
    <row r="165" spans="1:8" x14ac:dyDescent="0.2">
      <c r="A165" s="172" t="s">
        <v>609</v>
      </c>
      <c r="B165" s="172"/>
      <c r="C165" s="490">
        <f>B165+C164</f>
        <v>34025.800000000003</v>
      </c>
      <c r="D165" s="495">
        <f>C165+D164</f>
        <v>68051.600000000006</v>
      </c>
      <c r="E165" s="495">
        <f>D165+E164</f>
        <v>102077.40000000001</v>
      </c>
      <c r="F165" s="495">
        <f>E165+F164</f>
        <v>136103.20000000001</v>
      </c>
      <c r="G165" s="746">
        <f>F165+G164</f>
        <v>170129</v>
      </c>
    </row>
    <row r="166" spans="1:8" x14ac:dyDescent="0.2">
      <c r="A166" s="172" t="s">
        <v>643</v>
      </c>
      <c r="B166" s="172"/>
      <c r="C166" s="514">
        <f>(B165/30)</f>
        <v>0</v>
      </c>
      <c r="D166" s="495">
        <f>(C165/30)</f>
        <v>1134.1933333333334</v>
      </c>
      <c r="E166" s="495">
        <f>(D165/30)</f>
        <v>2268.3866666666668</v>
      </c>
      <c r="F166" s="495">
        <f>(E165/30)</f>
        <v>3402.5800000000004</v>
      </c>
      <c r="G166" s="746">
        <f>(F165/30)</f>
        <v>4536.7733333333335</v>
      </c>
    </row>
    <row r="167" spans="1:8" x14ac:dyDescent="0.2">
      <c r="A167" s="1068" t="s">
        <v>821</v>
      </c>
      <c r="B167" s="172"/>
      <c r="C167" s="514">
        <f>C164-C162-C166</f>
        <v>17525.800000000003</v>
      </c>
      <c r="D167" s="495">
        <f>D164-D162-D166</f>
        <v>16391.60666666667</v>
      </c>
      <c r="E167" s="495">
        <f>E164-E162-E166</f>
        <v>15257.413333333336</v>
      </c>
      <c r="F167" s="495">
        <f>F164-F162-F166</f>
        <v>14123.220000000003</v>
      </c>
      <c r="G167" s="746">
        <f>G164-G162-G166</f>
        <v>12989.026666666654</v>
      </c>
    </row>
    <row r="168" spans="1:8" x14ac:dyDescent="0.2">
      <c r="A168" s="744" t="s">
        <v>196</v>
      </c>
      <c r="B168" s="748">
        <f t="shared" ref="B168:G168" si="22">B162+B166</f>
        <v>16500</v>
      </c>
      <c r="C168" s="755">
        <f t="shared" si="22"/>
        <v>16500</v>
      </c>
      <c r="D168" s="745">
        <f t="shared" si="22"/>
        <v>17634.193333333333</v>
      </c>
      <c r="E168" s="745">
        <f t="shared" si="22"/>
        <v>18768.386666666665</v>
      </c>
      <c r="F168" s="745">
        <f t="shared" si="22"/>
        <v>19902.580000000002</v>
      </c>
      <c r="G168" s="749">
        <f t="shared" si="22"/>
        <v>21036.773333333334</v>
      </c>
    </row>
    <row r="169" spans="1:8" ht="13.5" thickBot="1" x14ac:dyDescent="0.25">
      <c r="A169" s="75" t="s">
        <v>195</v>
      </c>
      <c r="B169" s="747">
        <f>B163</f>
        <v>351000</v>
      </c>
      <c r="C169" s="515">
        <f>B169+C167</f>
        <v>368525.8</v>
      </c>
      <c r="D169" s="496">
        <f>C169+D167</f>
        <v>384917.40666666668</v>
      </c>
      <c r="E169" s="496">
        <f>D169+E167</f>
        <v>400174.82</v>
      </c>
      <c r="F169" s="496">
        <f>E169+F167</f>
        <v>414298.04000000004</v>
      </c>
      <c r="G169" s="833">
        <f>F169+G167</f>
        <v>427287.06666666671</v>
      </c>
    </row>
    <row r="170" spans="1:8" ht="13.5" thickBot="1" x14ac:dyDescent="0.25">
      <c r="A170" s="1" t="s">
        <v>771</v>
      </c>
      <c r="B170" s="1"/>
    </row>
    <row r="171" spans="1:8" x14ac:dyDescent="0.2">
      <c r="A171" s="176" t="s">
        <v>197</v>
      </c>
      <c r="B171" s="743">
        <f>F110</f>
        <v>27719</v>
      </c>
      <c r="C171" s="752">
        <f>B171</f>
        <v>27719</v>
      </c>
      <c r="D171" s="753">
        <v>24386</v>
      </c>
      <c r="E171" s="753">
        <v>20105</v>
      </c>
      <c r="F171" s="753">
        <f>E172</f>
        <v>12290</v>
      </c>
      <c r="G171" s="715"/>
    </row>
    <row r="172" spans="1:8" ht="13.5" thickBot="1" x14ac:dyDescent="0.25">
      <c r="A172" s="740" t="s">
        <v>823</v>
      </c>
      <c r="B172" s="741">
        <f>F109</f>
        <v>84500</v>
      </c>
      <c r="C172" s="750">
        <f>B172-C171</f>
        <v>56781</v>
      </c>
      <c r="D172" s="742">
        <f>C172-D171</f>
        <v>32395</v>
      </c>
      <c r="E172" s="742">
        <f>D172-E171</f>
        <v>12290</v>
      </c>
      <c r="F172" s="742">
        <f>E172-F171</f>
        <v>0</v>
      </c>
      <c r="G172" s="135">
        <v>0</v>
      </c>
    </row>
    <row r="173" spans="1:8" ht="13.5" thickBot="1" x14ac:dyDescent="0.25">
      <c r="A173" s="1068" t="s">
        <v>822</v>
      </c>
      <c r="B173" s="1069"/>
      <c r="C173" s="512">
        <v>42719</v>
      </c>
      <c r="D173" s="1071">
        <v>46725</v>
      </c>
      <c r="E173" s="1071">
        <v>43862</v>
      </c>
      <c r="F173" s="1071">
        <v>58368</v>
      </c>
      <c r="G173" s="1072">
        <f>E145-SUM(C173:F173)</f>
        <v>56507</v>
      </c>
      <c r="H173" s="1358">
        <f>SUM(C173:G173)</f>
        <v>248181</v>
      </c>
    </row>
    <row r="174" spans="1:8" x14ac:dyDescent="0.2">
      <c r="A174" s="172" t="s">
        <v>609</v>
      </c>
      <c r="B174" s="172"/>
      <c r="C174" s="514">
        <f>B174+C173</f>
        <v>42719</v>
      </c>
      <c r="D174" s="495">
        <f>C174+D173</f>
        <v>89444</v>
      </c>
      <c r="E174" s="495">
        <f>D174+E173</f>
        <v>133306</v>
      </c>
      <c r="F174" s="495">
        <f>E174+F173</f>
        <v>191674</v>
      </c>
      <c r="G174" s="746">
        <f>F174+G173</f>
        <v>248181</v>
      </c>
    </row>
    <row r="175" spans="1:8" x14ac:dyDescent="0.2">
      <c r="A175" s="1068" t="s">
        <v>825</v>
      </c>
      <c r="B175" s="172"/>
      <c r="C175" s="514">
        <f>B174/6</f>
        <v>0</v>
      </c>
      <c r="D175" s="495">
        <f>C174/6</f>
        <v>7119.833333333333</v>
      </c>
      <c r="E175" s="495">
        <f>D174/6</f>
        <v>14907.333333333334</v>
      </c>
      <c r="F175" s="495">
        <f>E174/6</f>
        <v>22217.666666666668</v>
      </c>
      <c r="G175" s="746">
        <f>F174/6</f>
        <v>31945.666666666668</v>
      </c>
    </row>
    <row r="176" spans="1:8" x14ac:dyDescent="0.2">
      <c r="A176" s="1068" t="s">
        <v>821</v>
      </c>
      <c r="B176" s="172"/>
      <c r="C176" s="514">
        <f>C173-C171-C175</f>
        <v>15000</v>
      </c>
      <c r="D176" s="495">
        <f>D173-D171-D175</f>
        <v>15219.166666666668</v>
      </c>
      <c r="E176" s="495">
        <f>E173-E171-E175</f>
        <v>8849.6666666666661</v>
      </c>
      <c r="F176" s="495">
        <f>F173-F171-F175</f>
        <v>23860.333333333332</v>
      </c>
      <c r="G176" s="746">
        <f>G173-G171-G175</f>
        <v>24561.333333333332</v>
      </c>
    </row>
    <row r="177" spans="1:12" x14ac:dyDescent="0.2">
      <c r="A177" s="744" t="s">
        <v>196</v>
      </c>
      <c r="B177" s="748">
        <f>B171</f>
        <v>27719</v>
      </c>
      <c r="C177" s="755">
        <f>C171+C175</f>
        <v>27719</v>
      </c>
      <c r="D177" s="745">
        <f>D171+D175</f>
        <v>31505.833333333332</v>
      </c>
      <c r="E177" s="745">
        <f>E171+E175</f>
        <v>35012.333333333336</v>
      </c>
      <c r="F177" s="745">
        <f>F171+F175</f>
        <v>34507.666666666672</v>
      </c>
      <c r="G177" s="749">
        <f>G171+G175</f>
        <v>31945.666666666668</v>
      </c>
    </row>
    <row r="178" spans="1:12" ht="13.5" thickBot="1" x14ac:dyDescent="0.25">
      <c r="A178" s="75" t="s">
        <v>195</v>
      </c>
      <c r="B178" s="747">
        <f>B172</f>
        <v>84500</v>
      </c>
      <c r="C178" s="515">
        <f>B178+C176</f>
        <v>99500</v>
      </c>
      <c r="D178" s="496">
        <f>C178+D176</f>
        <v>114719.16666666667</v>
      </c>
      <c r="E178" s="496">
        <f>D178+E176</f>
        <v>123568.83333333334</v>
      </c>
      <c r="F178" s="496">
        <f>E178+F176</f>
        <v>147429.16666666669</v>
      </c>
      <c r="G178" s="833">
        <f>F178+G176</f>
        <v>171990.50000000003</v>
      </c>
    </row>
    <row r="179" spans="1:12" ht="13.5" thickBot="1" x14ac:dyDescent="0.25">
      <c r="B179" s="12"/>
      <c r="C179" s="12"/>
      <c r="D179" s="12"/>
      <c r="E179" s="12"/>
      <c r="F179" s="12"/>
      <c r="G179" s="12"/>
    </row>
    <row r="180" spans="1:12" ht="13.5" thickBot="1" x14ac:dyDescent="0.25">
      <c r="A180" s="74" t="s">
        <v>824</v>
      </c>
      <c r="B180" s="757">
        <f>'7 Rozvaha'!G8</f>
        <v>14524</v>
      </c>
      <c r="C180" s="758">
        <f>B180</f>
        <v>14524</v>
      </c>
      <c r="D180" s="759">
        <f>C180</f>
        <v>14524</v>
      </c>
      <c r="E180" s="759">
        <f>D180</f>
        <v>14524</v>
      </c>
      <c r="F180" s="759">
        <f>E180</f>
        <v>14524</v>
      </c>
      <c r="G180" s="760">
        <f>F180</f>
        <v>14524</v>
      </c>
    </row>
    <row r="181" spans="1:12" x14ac:dyDescent="0.2">
      <c r="A181" s="1"/>
      <c r="B181" s="12"/>
      <c r="C181" s="12"/>
      <c r="D181" s="12"/>
      <c r="E181" s="12"/>
      <c r="F181" s="12"/>
      <c r="G181" s="12"/>
    </row>
    <row r="182" spans="1:12" ht="13.5" thickBot="1" x14ac:dyDescent="0.25">
      <c r="A182" s="1" t="s">
        <v>108</v>
      </c>
      <c r="B182" s="1"/>
    </row>
    <row r="183" spans="1:12" x14ac:dyDescent="0.2">
      <c r="A183" s="111" t="s">
        <v>168</v>
      </c>
      <c r="B183" s="761">
        <f t="shared" ref="B183:G183" si="23">B159+B168+B177</f>
        <v>45372</v>
      </c>
      <c r="C183" s="678">
        <f t="shared" si="23"/>
        <v>45372</v>
      </c>
      <c r="D183" s="679">
        <f t="shared" si="23"/>
        <v>51032.026666666665</v>
      </c>
      <c r="E183" s="679">
        <f t="shared" si="23"/>
        <v>55634.720000000001</v>
      </c>
      <c r="F183" s="679">
        <f t="shared" si="23"/>
        <v>56977.746666666673</v>
      </c>
      <c r="G183" s="680">
        <f t="shared" si="23"/>
        <v>56620.69</v>
      </c>
    </row>
    <row r="184" spans="1:12" ht="13.5" thickBot="1" x14ac:dyDescent="0.25">
      <c r="A184" s="80" t="s">
        <v>826</v>
      </c>
      <c r="B184" s="739">
        <f t="shared" ref="B184:G184" si="24">B160+B169+B178+B180</f>
        <v>452188</v>
      </c>
      <c r="C184" s="762">
        <f t="shared" si="24"/>
        <v>487084.79999999999</v>
      </c>
      <c r="D184" s="763">
        <f t="shared" si="24"/>
        <v>520695.57333333336</v>
      </c>
      <c r="E184" s="763">
        <f t="shared" si="24"/>
        <v>545802.65333333332</v>
      </c>
      <c r="F184" s="763">
        <f t="shared" si="24"/>
        <v>585501.70666666678</v>
      </c>
      <c r="G184" s="764">
        <f t="shared" si="24"/>
        <v>625044.81666666677</v>
      </c>
    </row>
    <row r="185" spans="1:12" x14ac:dyDescent="0.2">
      <c r="A185" s="81" t="s">
        <v>646</v>
      </c>
      <c r="B185" s="739">
        <f>F100+F106+F113</f>
        <v>79078</v>
      </c>
      <c r="C185" s="762">
        <f>C155+C164+C173</f>
        <v>80268.800000000003</v>
      </c>
      <c r="D185" s="763">
        <f>D155+D164+D173</f>
        <v>84642.8</v>
      </c>
      <c r="E185" s="763">
        <f>E155+E164+E173</f>
        <v>80741.8</v>
      </c>
      <c r="F185" s="763">
        <f>F155+F164+F173</f>
        <v>96676.800000000003</v>
      </c>
      <c r="G185" s="764">
        <f>G155+G164+G173</f>
        <v>96163.799999999988</v>
      </c>
      <c r="H185" s="826">
        <f>SUM(C185:G185)</f>
        <v>438494</v>
      </c>
    </row>
    <row r="186" spans="1:12" ht="13.5" thickBot="1" x14ac:dyDescent="0.25">
      <c r="A186" s="75" t="s">
        <v>645</v>
      </c>
      <c r="B186" s="747">
        <f>F99+F105+F112</f>
        <v>33706</v>
      </c>
      <c r="C186" s="1359">
        <f>C158+C167+C176</f>
        <v>34896.800000000003</v>
      </c>
      <c r="D186" s="1360">
        <f>D158+D167+D176</f>
        <v>33610.773333333338</v>
      </c>
      <c r="E186" s="1360">
        <f>E158+E167+E176</f>
        <v>25107.08</v>
      </c>
      <c r="F186" s="1360">
        <f>F158+F167+F176</f>
        <v>39699.053333333337</v>
      </c>
      <c r="G186" s="1361">
        <f>G158+G167+G176</f>
        <v>39543.109999999986</v>
      </c>
      <c r="H186" s="1073">
        <f>SUM(C186:G186)</f>
        <v>172856.81666666665</v>
      </c>
      <c r="I186" s="12"/>
    </row>
    <row r="188" spans="1:12" ht="20.25" customHeight="1" x14ac:dyDescent="0.2"/>
    <row r="189" spans="1:12" ht="15.75" x14ac:dyDescent="0.25">
      <c r="A189" s="673" t="s">
        <v>635</v>
      </c>
      <c r="C189" s="154"/>
      <c r="D189" s="154"/>
      <c r="E189" s="154"/>
      <c r="F189" s="154"/>
    </row>
    <row r="191" spans="1:12" ht="13.5" thickBot="1" x14ac:dyDescent="0.25">
      <c r="A191" s="674" t="s">
        <v>636</v>
      </c>
      <c r="B191" s="1024"/>
      <c r="C191" s="1024"/>
      <c r="D191" s="1024"/>
      <c r="E191" s="1024"/>
      <c r="F191" s="1024"/>
      <c r="G191" s="1024"/>
      <c r="H191" s="1024"/>
      <c r="I191" s="1024"/>
      <c r="J191" s="1024"/>
      <c r="L191" s="67"/>
    </row>
    <row r="192" spans="1:12" ht="13.5" thickBot="1" x14ac:dyDescent="0.25">
      <c r="A192" s="701"/>
      <c r="B192" s="550">
        <f t="shared" ref="B192:J192" si="25">B29</f>
        <v>2012</v>
      </c>
      <c r="C192" s="551">
        <f t="shared" si="25"/>
        <v>2013</v>
      </c>
      <c r="D192" s="551">
        <f t="shared" si="25"/>
        <v>2014</v>
      </c>
      <c r="E192" s="551">
        <f t="shared" si="25"/>
        <v>2015</v>
      </c>
      <c r="F192" s="626">
        <f t="shared" si="25"/>
        <v>2016</v>
      </c>
      <c r="G192" s="550">
        <f t="shared" si="25"/>
        <v>2017</v>
      </c>
      <c r="H192" s="551">
        <f t="shared" si="25"/>
        <v>2018</v>
      </c>
      <c r="I192" s="551">
        <f t="shared" si="25"/>
        <v>2019</v>
      </c>
      <c r="J192" s="551">
        <f t="shared" si="25"/>
        <v>2020</v>
      </c>
      <c r="K192" s="626">
        <f>K29</f>
        <v>2021</v>
      </c>
      <c r="L192" s="67"/>
    </row>
    <row r="193" spans="1:12" x14ac:dyDescent="0.2">
      <c r="A193" s="1036" t="s">
        <v>610</v>
      </c>
      <c r="B193" s="1047">
        <f>(B51-'8 Výsledovka'!D13)*(1-'8 Výsledovka'!D3)</f>
        <v>42701.58</v>
      </c>
      <c r="C193" s="1038">
        <f>(C51-'8 Výsledovka'!E13)*(1-'8 Výsledovka'!E3)</f>
        <v>48053.25</v>
      </c>
      <c r="D193" s="1038">
        <f>(D51-'8 Výsledovka'!F13)*(1-'8 Výsledovka'!F3)</f>
        <v>36680.850000000006</v>
      </c>
      <c r="E193" s="1038">
        <f>(E51-'8 Výsledovka'!G13)*(1-'8 Výsledovka'!G3)</f>
        <v>50598.270000000004</v>
      </c>
      <c r="F193" s="1048">
        <f>(F51-'8 Výsledovka'!H13)*(1-'8 Výsledovka'!H3)</f>
        <v>58289.22</v>
      </c>
      <c r="G193" s="1037">
        <f>(G51-C183)*(1-'18 Plán'!C7)</f>
        <v>66941.533941678019</v>
      </c>
      <c r="H193" s="1038">
        <f>(H51-D183)*(1-'18 Plán'!D7)</f>
        <v>72733.461683582616</v>
      </c>
      <c r="I193" s="1038">
        <f>(I51-E183)*(1-'18 Plán'!E7)</f>
        <v>75393.166667463243</v>
      </c>
      <c r="J193" s="1038">
        <f>(J51-F183)*(1-'18 Plán'!F7)</f>
        <v>79725.893111499056</v>
      </c>
      <c r="K193" s="1039">
        <f>(K51-G183)*(1-'18 Plán'!G7)</f>
        <v>84294.956520490028</v>
      </c>
      <c r="L193" s="67"/>
    </row>
    <row r="194" spans="1:12" x14ac:dyDescent="0.2">
      <c r="A194" s="1025" t="s">
        <v>638</v>
      </c>
      <c r="B194" s="1026">
        <f t="shared" ref="B194:K194" si="26">B193/B7</f>
        <v>2.966413384628851E-2</v>
      </c>
      <c r="C194" s="1027">
        <f t="shared" si="26"/>
        <v>2.719589910183199E-2</v>
      </c>
      <c r="D194" s="1027">
        <f t="shared" si="26"/>
        <v>2.002647386081596E-2</v>
      </c>
      <c r="E194" s="1027">
        <f t="shared" si="26"/>
        <v>2.6722198984732971E-2</v>
      </c>
      <c r="F194" s="1028">
        <f t="shared" si="26"/>
        <v>2.8365163667578609E-2</v>
      </c>
      <c r="G194" s="1029">
        <f t="shared" si="26"/>
        <v>2.9858498137952279E-2</v>
      </c>
      <c r="H194" s="1027">
        <f t="shared" si="26"/>
        <v>2.9955605372983547E-2</v>
      </c>
      <c r="I194" s="1027">
        <f t="shared" si="26"/>
        <v>2.940437207191517E-2</v>
      </c>
      <c r="J194" s="1027">
        <f t="shared" si="26"/>
        <v>2.9755210510966013E-2</v>
      </c>
      <c r="K194" s="1030">
        <f t="shared" si="26"/>
        <v>3.0425987768291723E-2</v>
      </c>
      <c r="L194" s="67"/>
    </row>
    <row r="195" spans="1:12" ht="13.5" thickBot="1" x14ac:dyDescent="0.25">
      <c r="A195" s="75" t="s">
        <v>639</v>
      </c>
      <c r="B195" s="1024"/>
      <c r="C195" s="1530">
        <f>(F193/B193)^(1/4)-1</f>
        <v>8.0901388672818042E-2</v>
      </c>
      <c r="D195" s="1531"/>
      <c r="E195" s="1531"/>
      <c r="F195" s="1539"/>
      <c r="G195" s="1545">
        <f>(K193/F193)^(1/5)-1</f>
        <v>7.657098153023334E-2</v>
      </c>
      <c r="H195" s="1546"/>
      <c r="I195" s="1546"/>
      <c r="J195" s="1546"/>
      <c r="K195" s="1547"/>
      <c r="L195" s="67"/>
    </row>
    <row r="197" spans="1:12" ht="13.5" thickBot="1" x14ac:dyDescent="0.25">
      <c r="A197" s="674" t="s">
        <v>637</v>
      </c>
    </row>
    <row r="198" spans="1:12" ht="13.5" thickBot="1" x14ac:dyDescent="0.25">
      <c r="A198" s="701"/>
      <c r="B198" s="550">
        <f>B192</f>
        <v>2012</v>
      </c>
      <c r="C198" s="551">
        <f t="shared" ref="C198:K198" si="27">C192</f>
        <v>2013</v>
      </c>
      <c r="D198" s="551">
        <f t="shared" si="27"/>
        <v>2014</v>
      </c>
      <c r="E198" s="551">
        <f t="shared" si="27"/>
        <v>2015</v>
      </c>
      <c r="F198" s="626">
        <f t="shared" si="27"/>
        <v>2016</v>
      </c>
      <c r="G198" s="550">
        <f t="shared" si="27"/>
        <v>2017</v>
      </c>
      <c r="H198" s="551">
        <f t="shared" si="27"/>
        <v>2018</v>
      </c>
      <c r="I198" s="551">
        <f t="shared" si="27"/>
        <v>2019</v>
      </c>
      <c r="J198" s="551">
        <f t="shared" si="27"/>
        <v>2020</v>
      </c>
      <c r="K198" s="626">
        <f t="shared" si="27"/>
        <v>2021</v>
      </c>
    </row>
    <row r="199" spans="1:12" x14ac:dyDescent="0.2">
      <c r="A199" s="691" t="s">
        <v>622</v>
      </c>
      <c r="B199" s="1051">
        <f>'15 Rozdělení majektu'!B17</f>
        <v>389733.32700000005</v>
      </c>
      <c r="C199" s="1052">
        <f>'15 Rozdělení majektu'!C17</f>
        <v>443841.26774869999</v>
      </c>
      <c r="D199" s="1052">
        <f>'15 Rozdělení majektu'!D17</f>
        <v>449463</v>
      </c>
      <c r="E199" s="1052">
        <f>'15 Rozdělení majektu'!E17</f>
        <v>438202.5</v>
      </c>
      <c r="F199" s="1053">
        <f>'15 Rozdělení majektu'!F17</f>
        <v>488911.1</v>
      </c>
      <c r="G199" s="1051">
        <f>G84+C184</f>
        <v>528058.74734328769</v>
      </c>
      <c r="H199" s="1052">
        <f>H84+D184</f>
        <v>571559.01759316586</v>
      </c>
      <c r="I199" s="1052">
        <f>I84+E184</f>
        <v>612259.31457555888</v>
      </c>
      <c r="J199" s="1052">
        <f>J84+F184</f>
        <v>654860.26766479248</v>
      </c>
      <c r="K199" s="1053">
        <f>K84+G184</f>
        <v>696694.58873872878</v>
      </c>
    </row>
    <row r="200" spans="1:12" x14ac:dyDescent="0.2">
      <c r="A200" s="172" t="s">
        <v>678</v>
      </c>
      <c r="B200" s="1050" t="s">
        <v>623</v>
      </c>
      <c r="C200" s="644">
        <f t="shared" ref="C200:K200" si="28">C7/B199</f>
        <v>4.5336897760349855</v>
      </c>
      <c r="D200" s="644">
        <f t="shared" si="28"/>
        <v>4.1267410966324345</v>
      </c>
      <c r="E200" s="644">
        <f t="shared" si="28"/>
        <v>4.2127872594629592</v>
      </c>
      <c r="F200" s="1035">
        <f t="shared" si="28"/>
        <v>4.6895168329710577</v>
      </c>
      <c r="G200" s="1034">
        <f t="shared" si="28"/>
        <v>4.5856172584341</v>
      </c>
      <c r="H200" s="644">
        <f t="shared" si="28"/>
        <v>4.5980523985062307</v>
      </c>
      <c r="I200" s="644">
        <f t="shared" si="28"/>
        <v>4.4859971605353985</v>
      </c>
      <c r="J200" s="644">
        <f t="shared" si="28"/>
        <v>4.3762383226604884</v>
      </c>
      <c r="K200" s="1035">
        <f t="shared" si="28"/>
        <v>4.2306613542303069</v>
      </c>
    </row>
    <row r="201" spans="1:12" ht="13.5" thickBot="1" x14ac:dyDescent="0.25">
      <c r="A201" s="230" t="s">
        <v>431</v>
      </c>
      <c r="B201" s="1049" t="s">
        <v>623</v>
      </c>
      <c r="C201" s="996">
        <f t="shared" ref="C201:J201" si="29">C194*C200</f>
        <v>0.12329776970805474</v>
      </c>
      <c r="D201" s="996">
        <f t="shared" si="29"/>
        <v>8.2644072702064433E-2</v>
      </c>
      <c r="E201" s="996">
        <f t="shared" si="29"/>
        <v>0.11257493942771708</v>
      </c>
      <c r="F201" s="997">
        <f t="shared" si="29"/>
        <v>0.13301891248908895</v>
      </c>
      <c r="G201" s="995">
        <f t="shared" si="29"/>
        <v>0.13691964437231641</v>
      </c>
      <c r="H201" s="996">
        <f t="shared" si="29"/>
        <v>0.13773744313395314</v>
      </c>
      <c r="I201" s="996">
        <f t="shared" si="29"/>
        <v>0.13190792962193781</v>
      </c>
      <c r="J201" s="996">
        <f t="shared" si="29"/>
        <v>0.13021589253691965</v>
      </c>
      <c r="K201" s="997">
        <f>K194*K200</f>
        <v>0.12872205061559583</v>
      </c>
    </row>
    <row r="204" spans="1:12" ht="15.75" x14ac:dyDescent="0.25">
      <c r="F204" s="1060"/>
    </row>
  </sheetData>
  <mergeCells count="43">
    <mergeCell ref="G195:K195"/>
    <mergeCell ref="B143:C143"/>
    <mergeCell ref="B144:C144"/>
    <mergeCell ref="D142:F142"/>
    <mergeCell ref="G6:K6"/>
    <mergeCell ref="G12:K12"/>
    <mergeCell ref="G40:K40"/>
    <mergeCell ref="G44:K44"/>
    <mergeCell ref="G45:K45"/>
    <mergeCell ref="G49:K49"/>
    <mergeCell ref="G85:K85"/>
    <mergeCell ref="B107:F107"/>
    <mergeCell ref="B129:C129"/>
    <mergeCell ref="B137:C137"/>
    <mergeCell ref="B131:C131"/>
    <mergeCell ref="B132:C132"/>
    <mergeCell ref="C195:F195"/>
    <mergeCell ref="B145:C145"/>
    <mergeCell ref="B146:C146"/>
    <mergeCell ref="B139:C139"/>
    <mergeCell ref="C6:F6"/>
    <mergeCell ref="D121:F121"/>
    <mergeCell ref="B121:C121"/>
    <mergeCell ref="C12:F12"/>
    <mergeCell ref="C45:F45"/>
    <mergeCell ref="B114:F114"/>
    <mergeCell ref="B142:C142"/>
    <mergeCell ref="B124:C124"/>
    <mergeCell ref="B123:C123"/>
    <mergeCell ref="B125:C125"/>
    <mergeCell ref="B122:C122"/>
    <mergeCell ref="B138:C138"/>
    <mergeCell ref="B136:C136"/>
    <mergeCell ref="B128:C128"/>
    <mergeCell ref="C40:F40"/>
    <mergeCell ref="B130:C130"/>
    <mergeCell ref="D135:F135"/>
    <mergeCell ref="C44:F44"/>
    <mergeCell ref="C49:F49"/>
    <mergeCell ref="B135:C135"/>
    <mergeCell ref="B101:F101"/>
    <mergeCell ref="B85:F85"/>
    <mergeCell ref="D128:F128"/>
  </mergeCells>
  <phoneticPr fontId="0" type="noConversion"/>
  <hyperlinks>
    <hyperlink ref="J1" location="Obsah!A1" display="Skok na obsah" xr:uid="{00000000-0004-0000-1000-000000000000}"/>
  </hyperlinks>
  <pageMargins left="0.39370078740157483" right="0.39370078740157483" top="0.98425196850393704" bottom="0.98425196850393704" header="0.51181102362204722" footer="0.51181102362204722"/>
  <pageSetup paperSize="9" scale="90" orientation="landscape" r:id="rId1"/>
  <headerFooter alignWithMargins="0">
    <oddHeader>&amp;LMařík, M. a kol.: Metody oceňování podniku - 1. díl, Ekopress 2024&amp;RPříklad UNIPO, a.s.</oddHeader>
    <oddFooter>&amp;C&amp;A&amp;R&amp;"Arial CE,kurzíva"© M. Mařík, P. Maříková</oddFooter>
  </headerFooter>
  <rowBreaks count="4" manualBreakCount="4">
    <brk id="53" max="16383" man="1"/>
    <brk id="86" max="16383" man="1"/>
    <brk id="115" max="16383" man="1"/>
    <brk id="149" max="16383" man="1"/>
  </rowBreaks>
  <ignoredErrors>
    <ignoredError sqref="C45 G45" formulaRange="1"/>
  </ignoredError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33"/>
  <sheetViews>
    <sheetView workbookViewId="0"/>
  </sheetViews>
  <sheetFormatPr defaultRowHeight="12.75" x14ac:dyDescent="0.2"/>
  <cols>
    <col min="1" max="1" width="41" customWidth="1"/>
    <col min="2" max="6" width="10.7109375" customWidth="1"/>
  </cols>
  <sheetData>
    <row r="1" spans="1:9" ht="21" customHeight="1" x14ac:dyDescent="0.2">
      <c r="A1" s="486" t="s">
        <v>475</v>
      </c>
    </row>
    <row r="2" spans="1:9" x14ac:dyDescent="0.2">
      <c r="F2" s="926" t="s">
        <v>557</v>
      </c>
    </row>
    <row r="3" spans="1:9" x14ac:dyDescent="0.2">
      <c r="A3" s="1" t="s">
        <v>870</v>
      </c>
      <c r="B3" s="17">
        <f>ROUND('16 Generátory'!F7/1000,0)</f>
        <v>2055</v>
      </c>
      <c r="C3" s="1" t="s">
        <v>201</v>
      </c>
    </row>
    <row r="4" spans="1:9" x14ac:dyDescent="0.2">
      <c r="B4" s="12"/>
    </row>
    <row r="5" spans="1:9" x14ac:dyDescent="0.2">
      <c r="A5" s="738"/>
      <c r="B5" s="770">
        <f>'16 Generátory'!G10</f>
        <v>2017</v>
      </c>
      <c r="C5" s="770">
        <f>'16 Generátory'!H10</f>
        <v>2018</v>
      </c>
      <c r="D5" s="770">
        <f>'16 Generátory'!I10</f>
        <v>2019</v>
      </c>
      <c r="E5" s="770">
        <f>'16 Generátory'!J10</f>
        <v>2020</v>
      </c>
      <c r="F5" s="770">
        <f>'16 Generátory'!K10</f>
        <v>2021</v>
      </c>
      <c r="I5" s="70"/>
    </row>
    <row r="6" spans="1:9" x14ac:dyDescent="0.2">
      <c r="A6" s="77" t="s">
        <v>812</v>
      </c>
      <c r="B6" s="161">
        <f>'16 Generátory'!G17</f>
        <v>5.7099999999999998E-2</v>
      </c>
      <c r="C6" s="161">
        <f>'16 Generátory'!H17</f>
        <v>5.8000000000000003E-2</v>
      </c>
      <c r="D6" s="161">
        <f>'16 Generátory'!I17</f>
        <v>5.8000000000000003E-2</v>
      </c>
      <c r="E6" s="161">
        <f>'16 Generátory'!J17</f>
        <v>5.8000000000000003E-2</v>
      </c>
      <c r="F6" s="161">
        <f>'16 Generátory'!K17</f>
        <v>5.8000000000000003E-2</v>
      </c>
    </row>
    <row r="7" spans="1:9" x14ac:dyDescent="0.2">
      <c r="A7" s="77" t="s">
        <v>202</v>
      </c>
      <c r="B7" s="161">
        <f>'16 Generátory'!C183/'16 Generátory'!G7</f>
        <v>2.0237656619812014E-2</v>
      </c>
      <c r="C7" s="161">
        <f>'16 Generátory'!D183/'16 Generátory'!H7</f>
        <v>2.1017771144464809E-2</v>
      </c>
      <c r="D7" s="161">
        <f>'16 Generátory'!E183/'16 Generátory'!I7</f>
        <v>2.1698306084055399E-2</v>
      </c>
      <c r="E7" s="161">
        <f>'16 Generátory'!F183/'16 Generátory'!J7</f>
        <v>2.1265172208683975E-2</v>
      </c>
      <c r="F7" s="161">
        <f>'16 Generátory'!G183/'16 Generátory'!K7</f>
        <v>2.0437052137911499E-2</v>
      </c>
    </row>
    <row r="8" spans="1:9" x14ac:dyDescent="0.2">
      <c r="A8" s="77" t="s">
        <v>813</v>
      </c>
      <c r="B8" s="161">
        <f>B6-B7</f>
        <v>3.6862343380187984E-2</v>
      </c>
      <c r="C8" s="161">
        <f>C6-C7</f>
        <v>3.698222885553519E-2</v>
      </c>
      <c r="D8" s="161">
        <f>D6-D7</f>
        <v>3.6301693915944608E-2</v>
      </c>
      <c r="E8" s="161">
        <f>E6-E7</f>
        <v>3.6734827791316024E-2</v>
      </c>
      <c r="F8" s="161">
        <f>F6-F7</f>
        <v>3.7562947862088504E-2</v>
      </c>
    </row>
    <row r="9" spans="1:9" x14ac:dyDescent="0.2">
      <c r="A9" s="87" t="s">
        <v>652</v>
      </c>
      <c r="B9" s="162">
        <f>B8*(1-'18 Plán'!C7)</f>
        <v>2.9858498137952268E-2</v>
      </c>
      <c r="C9" s="162">
        <f>C8*(1-'18 Plán'!D7)</f>
        <v>2.9955605372983505E-2</v>
      </c>
      <c r="D9" s="162">
        <f>D8*(1-'18 Plán'!E7)</f>
        <v>2.9404372071915135E-2</v>
      </c>
      <c r="E9" s="162">
        <f>E8*(1-'18 Plán'!F7)</f>
        <v>2.9755210510965982E-2</v>
      </c>
      <c r="F9" s="162">
        <f>F8*(1-'18 Plán'!G7)</f>
        <v>3.0425987768291689E-2</v>
      </c>
    </row>
    <row r="10" spans="1:9" x14ac:dyDescent="0.2">
      <c r="A10" s="1"/>
      <c r="B10" s="156"/>
      <c r="C10" s="156"/>
      <c r="D10" s="156"/>
      <c r="E10" s="156"/>
    </row>
    <row r="11" spans="1:9" x14ac:dyDescent="0.2">
      <c r="A11" s="66" t="s">
        <v>833</v>
      </c>
      <c r="B11" s="21">
        <f>'16 Generátory'!K7-'16 Generátory'!F7</f>
        <v>715534.02683035191</v>
      </c>
      <c r="C11" s="1369" t="s">
        <v>224</v>
      </c>
      <c r="D11" s="156"/>
      <c r="E11" s="156"/>
    </row>
    <row r="12" spans="1:9" x14ac:dyDescent="0.2">
      <c r="A12" s="66" t="s">
        <v>834</v>
      </c>
      <c r="B12" s="21">
        <f>'16 Generátory'!H186</f>
        <v>172856.81666666665</v>
      </c>
      <c r="C12" s="1369" t="s">
        <v>224</v>
      </c>
      <c r="D12" s="156"/>
      <c r="E12" s="156"/>
    </row>
    <row r="13" spans="1:9" x14ac:dyDescent="0.2">
      <c r="A13" s="728" t="s">
        <v>679</v>
      </c>
      <c r="B13" s="782"/>
      <c r="C13" s="782"/>
      <c r="D13" s="782"/>
      <c r="E13" s="782">
        <f>B12/B11</f>
        <v>0.24157735367580191</v>
      </c>
      <c r="F13" s="163"/>
    </row>
    <row r="14" spans="1:9" x14ac:dyDescent="0.2">
      <c r="A14" s="728" t="s">
        <v>603</v>
      </c>
      <c r="B14" s="782"/>
      <c r="C14" s="782"/>
      <c r="D14" s="782"/>
      <c r="E14" s="782">
        <f>'16 Generátory'!G85</f>
        <v>4.8812035154748655E-2</v>
      </c>
      <c r="F14" s="12"/>
      <c r="G14" s="12"/>
    </row>
    <row r="16" spans="1:9" x14ac:dyDescent="0.2">
      <c r="A16" s="1559" t="s">
        <v>477</v>
      </c>
      <c r="B16" s="1559" t="s">
        <v>476</v>
      </c>
      <c r="C16" s="1558" t="s">
        <v>836</v>
      </c>
      <c r="D16" s="1558"/>
      <c r="E16" s="1558"/>
    </row>
    <row r="17" spans="1:8" x14ac:dyDescent="0.2">
      <c r="A17" s="1560"/>
      <c r="B17" s="1560"/>
      <c r="C17" s="893" t="s">
        <v>162</v>
      </c>
      <c r="D17" s="893" t="s">
        <v>163</v>
      </c>
      <c r="E17" s="893" t="s">
        <v>164</v>
      </c>
    </row>
    <row r="18" spans="1:8" x14ac:dyDescent="0.2">
      <c r="A18" s="773" t="s">
        <v>157</v>
      </c>
      <c r="B18" s="774" t="s">
        <v>158</v>
      </c>
      <c r="C18" s="775">
        <v>2.5000000000000001E-2</v>
      </c>
      <c r="D18" s="775">
        <v>0.03</v>
      </c>
      <c r="E18" s="775">
        <v>0.04</v>
      </c>
    </row>
    <row r="19" spans="1:8" ht="19.5" customHeight="1" x14ac:dyDescent="0.2">
      <c r="A19" s="773" t="s">
        <v>334</v>
      </c>
      <c r="B19" s="774" t="s">
        <v>478</v>
      </c>
      <c r="C19" s="775">
        <v>2.8000000000000001E-2</v>
      </c>
      <c r="D19" s="775">
        <v>0.03</v>
      </c>
      <c r="E19" s="775">
        <v>3.2000000000000001E-2</v>
      </c>
    </row>
    <row r="20" spans="1:8" ht="19.5" customHeight="1" x14ac:dyDescent="0.2">
      <c r="A20" s="776" t="s">
        <v>159</v>
      </c>
      <c r="B20" s="777"/>
      <c r="C20" s="778"/>
      <c r="D20" s="778"/>
      <c r="E20" s="778"/>
    </row>
    <row r="21" spans="1:8" ht="15.75" x14ac:dyDescent="0.2">
      <c r="A21" s="776" t="s">
        <v>160</v>
      </c>
      <c r="B21" s="777" t="s">
        <v>479</v>
      </c>
      <c r="C21" s="1076">
        <v>0.05</v>
      </c>
      <c r="D21" s="1076">
        <v>0.04</v>
      </c>
      <c r="E21" s="1076">
        <v>0.03</v>
      </c>
    </row>
    <row r="22" spans="1:8" ht="15.75" x14ac:dyDescent="0.2">
      <c r="A22" s="776" t="s">
        <v>161</v>
      </c>
      <c r="B22" s="777" t="s">
        <v>682</v>
      </c>
      <c r="C22" s="1076">
        <v>0.25</v>
      </c>
      <c r="D22" s="1076">
        <v>0.24</v>
      </c>
      <c r="E22" s="1076">
        <v>0.23</v>
      </c>
    </row>
    <row r="23" spans="1:8" x14ac:dyDescent="0.2">
      <c r="A23" s="779" t="s">
        <v>240</v>
      </c>
      <c r="B23" s="780"/>
      <c r="C23" s="1077">
        <f>C21+C22</f>
        <v>0.3</v>
      </c>
      <c r="D23" s="1077">
        <f>D21+D22</f>
        <v>0.27999999999999997</v>
      </c>
      <c r="E23" s="1077">
        <f>E21+E22</f>
        <v>0.26</v>
      </c>
    </row>
    <row r="24" spans="1:8" ht="15.75" x14ac:dyDescent="0.2">
      <c r="A24" s="779" t="s">
        <v>839</v>
      </c>
      <c r="B24" s="781" t="s">
        <v>480</v>
      </c>
      <c r="C24" s="1077">
        <v>0.11</v>
      </c>
      <c r="D24" s="1077">
        <v>0.1</v>
      </c>
      <c r="E24" s="1077">
        <v>0.09</v>
      </c>
    </row>
    <row r="25" spans="1:8" x14ac:dyDescent="0.2">
      <c r="A25" s="797" t="s">
        <v>835</v>
      </c>
      <c r="B25" s="798"/>
      <c r="C25" s="1074">
        <f>($B$3*(1+C18)*C19-$B$3*C18*C23)/(C24-C18)</f>
        <v>512.54117647058831</v>
      </c>
      <c r="D25" s="1074">
        <f>($B$3*(1+D18)*D19-$B$3*D18*D23)/(D24-D18)</f>
        <v>660.53571428571422</v>
      </c>
      <c r="E25" s="1074">
        <f>($B$3*(1+E18)*E19-$B$3*E18*E23)/(E24-E18)</f>
        <v>940.36800000000039</v>
      </c>
    </row>
    <row r="28" spans="1:8" x14ac:dyDescent="0.2">
      <c r="A28" s="674" t="s">
        <v>837</v>
      </c>
    </row>
    <row r="29" spans="1:8" x14ac:dyDescent="0.2">
      <c r="A29" s="738" t="s">
        <v>158</v>
      </c>
      <c r="B29" s="784">
        <v>0.01</v>
      </c>
      <c r="C29" s="784">
        <v>0.02</v>
      </c>
      <c r="D29" s="784">
        <v>0.03</v>
      </c>
      <c r="E29" s="784">
        <v>0.04</v>
      </c>
      <c r="F29" s="784">
        <v>0.05</v>
      </c>
    </row>
    <row r="30" spans="1:8" x14ac:dyDescent="0.2">
      <c r="A30" s="786" t="s">
        <v>481</v>
      </c>
      <c r="B30" s="799">
        <f>($B$3*(1+B29)*$D$19-$B$3*B29*$D$23)/($D$24-B29)</f>
        <v>627.91666666666663</v>
      </c>
      <c r="C30" s="799">
        <f>($B$3*(1+C29)*$D$19-$B$3*C29*$D$23)/($D$24-C29)</f>
        <v>642.1875</v>
      </c>
      <c r="D30" s="799">
        <f>($B$3*(1+D29)*$D$19-$B$3*D29*$D$23)/($D$24-D29)</f>
        <v>660.53571428571422</v>
      </c>
      <c r="E30" s="799">
        <f>($B$3*(1+E29)*$D$19-$B$3*E29*$D$23)/($D$24-E29)</f>
        <v>685</v>
      </c>
      <c r="F30" s="799">
        <f>($B$3*(1+F29)*$D$19-$B$3*F29*$D$23)/($D$24-F29)</f>
        <v>719.25000000000011</v>
      </c>
    </row>
    <row r="31" spans="1:8" x14ac:dyDescent="0.2">
      <c r="A31" s="77" t="s">
        <v>647</v>
      </c>
      <c r="B31" s="783">
        <f>(B30-$D$30)/$D$30</f>
        <v>-4.9382716049382679E-2</v>
      </c>
      <c r="C31" s="783">
        <f>(C30-$D$30)/$D$30</f>
        <v>-2.7777777777777683E-2</v>
      </c>
      <c r="D31" s="783">
        <f>(D30-$D$30)/$D$30</f>
        <v>0</v>
      </c>
      <c r="E31" s="783">
        <f>(E30-$D$30)/$D$30</f>
        <v>3.7037037037037139E-2</v>
      </c>
      <c r="F31" s="783">
        <f>(F30-$D$30)/$D$30</f>
        <v>8.888888888888917E-2</v>
      </c>
    </row>
    <row r="32" spans="1:8" ht="15.75" x14ac:dyDescent="0.25">
      <c r="B32" s="63"/>
      <c r="C32" s="63"/>
      <c r="D32" s="63"/>
      <c r="E32" s="63"/>
      <c r="F32" s="63"/>
      <c r="H32" s="1060"/>
    </row>
    <row r="33" spans="2:6" x14ac:dyDescent="0.2">
      <c r="B33" s="62"/>
      <c r="C33" s="62"/>
      <c r="D33" s="62"/>
      <c r="E33" s="62"/>
      <c r="F33" s="62"/>
    </row>
  </sheetData>
  <mergeCells count="3">
    <mergeCell ref="C16:E16"/>
    <mergeCell ref="A16:A17"/>
    <mergeCell ref="B16:B17"/>
  </mergeCells>
  <phoneticPr fontId="0" type="noConversion"/>
  <hyperlinks>
    <hyperlink ref="F2" location="Obsah!A1" display="Skok na obsah" xr:uid="{00000000-0004-0000-11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7"/>
  <sheetViews>
    <sheetView workbookViewId="0"/>
  </sheetViews>
  <sheetFormatPr defaultRowHeight="12.75" x14ac:dyDescent="0.2"/>
  <cols>
    <col min="1" max="1" width="47.7109375" customWidth="1"/>
    <col min="2" max="7" width="9.85546875" customWidth="1"/>
    <col min="8" max="8" width="2.140625" customWidth="1"/>
    <col min="9" max="9" width="47.7109375" customWidth="1"/>
    <col min="10" max="15" width="9.42578125" customWidth="1"/>
  </cols>
  <sheetData>
    <row r="1" spans="1:15" ht="20.25" customHeight="1" x14ac:dyDescent="0.2">
      <c r="A1" s="486" t="s">
        <v>471</v>
      </c>
      <c r="G1" s="926" t="s">
        <v>557</v>
      </c>
      <c r="I1" s="486"/>
      <c r="O1" s="926"/>
    </row>
    <row r="3" spans="1:15" ht="20.25" x14ac:dyDescent="0.3">
      <c r="A3" s="164" t="s">
        <v>364</v>
      </c>
      <c r="D3" s="433" t="s">
        <v>357</v>
      </c>
      <c r="E3" s="434"/>
      <c r="F3" s="434"/>
      <c r="G3" s="1079">
        <v>0.05</v>
      </c>
    </row>
    <row r="4" spans="1:15" ht="15" customHeight="1" x14ac:dyDescent="0.3">
      <c r="A4" s="164"/>
      <c r="D4" s="435" t="s">
        <v>358</v>
      </c>
      <c r="G4" s="436">
        <v>5.5E-2</v>
      </c>
    </row>
    <row r="5" spans="1:15" ht="15" customHeight="1" x14ac:dyDescent="0.3">
      <c r="A5" s="164"/>
      <c r="D5" s="437" t="s">
        <v>359</v>
      </c>
      <c r="E5" s="244"/>
      <c r="F5" s="244"/>
      <c r="G5" s="438">
        <v>0.04</v>
      </c>
    </row>
    <row r="6" spans="1:15" ht="15" customHeight="1" x14ac:dyDescent="0.3">
      <c r="A6" s="164"/>
    </row>
    <row r="7" spans="1:15" ht="15" customHeight="1" x14ac:dyDescent="0.2">
      <c r="A7" s="89" t="s">
        <v>653</v>
      </c>
      <c r="B7" s="1078">
        <v>0.19</v>
      </c>
      <c r="C7" s="1078">
        <v>0.19</v>
      </c>
      <c r="D7" s="1078">
        <v>0.19</v>
      </c>
      <c r="E7" s="1078">
        <v>0.19</v>
      </c>
      <c r="F7" s="1078">
        <v>0.19</v>
      </c>
      <c r="G7" s="1078">
        <v>0.19</v>
      </c>
    </row>
    <row r="8" spans="1:15" ht="12.75" customHeight="1" x14ac:dyDescent="0.3">
      <c r="A8" s="164"/>
      <c r="E8" s="61"/>
    </row>
    <row r="9" spans="1:15" ht="18.75" thickBot="1" x14ac:dyDescent="0.3">
      <c r="A9" s="261" t="s">
        <v>330</v>
      </c>
      <c r="E9" s="61"/>
    </row>
    <row r="10" spans="1:15" ht="13.5" thickBot="1" x14ac:dyDescent="0.25">
      <c r="A10" s="765" t="s">
        <v>155</v>
      </c>
      <c r="B10" s="766">
        <f>výchozí_rok+4</f>
        <v>2016</v>
      </c>
      <c r="C10" s="767">
        <f>B10+1</f>
        <v>2017</v>
      </c>
      <c r="D10" s="768">
        <f>C10+1</f>
        <v>2018</v>
      </c>
      <c r="E10" s="768">
        <f>D10+1</f>
        <v>2019</v>
      </c>
      <c r="F10" s="768">
        <f>E10+1</f>
        <v>2020</v>
      </c>
      <c r="G10" s="769">
        <f>F10+1</f>
        <v>2021</v>
      </c>
    </row>
    <row r="11" spans="1:15" x14ac:dyDescent="0.2">
      <c r="A11" s="1176" t="s">
        <v>44</v>
      </c>
      <c r="B11" s="1177">
        <f>'8 Výsledovka'!H5</f>
        <v>2054958</v>
      </c>
      <c r="C11" s="1178">
        <f>'16 Generátory'!G7</f>
        <v>2241959.1779999998</v>
      </c>
      <c r="D11" s="1179">
        <f>'16 Generátory'!H7</f>
        <v>2428041.7897739997</v>
      </c>
      <c r="E11" s="1179">
        <f>'16 Generátory'!I7</f>
        <v>2564012.1300013438</v>
      </c>
      <c r="F11" s="1179">
        <f>'16 Generátory'!J7</f>
        <v>2679392.6758514042</v>
      </c>
      <c r="G11" s="1180">
        <f>'16 Generátory'!K7</f>
        <v>2770492.0268303519</v>
      </c>
    </row>
    <row r="12" spans="1:15" x14ac:dyDescent="0.2">
      <c r="A12" s="27" t="s">
        <v>45</v>
      </c>
      <c r="B12" s="311">
        <f>'8 Výsledovka'!H7</f>
        <v>1771536</v>
      </c>
      <c r="C12" s="312">
        <f>'16 Generátory'!G38</f>
        <v>1932793.0073537999</v>
      </c>
      <c r="D12" s="313">
        <f>'16 Generátory'!H38</f>
        <v>2092972.0227851877</v>
      </c>
      <c r="E12" s="313">
        <f>'16 Generátory'!I38</f>
        <v>2210178.4560611583</v>
      </c>
      <c r="F12" s="313">
        <f>'16 Generátory'!J38</f>
        <v>2309636.4865839104</v>
      </c>
      <c r="G12" s="314">
        <f>'16 Generátory'!K38</f>
        <v>2388164.1271277633</v>
      </c>
    </row>
    <row r="13" spans="1:15" x14ac:dyDescent="0.2">
      <c r="A13" s="27" t="s">
        <v>710</v>
      </c>
      <c r="B13" s="311">
        <f>'8 Výsledovka'!H8</f>
        <v>31198</v>
      </c>
      <c r="C13" s="312">
        <f>'16 Generátory'!G42</f>
        <v>34077.779505599996</v>
      </c>
      <c r="D13" s="313">
        <f>'16 Generátory'!H42</f>
        <v>37149.039383542193</v>
      </c>
      <c r="E13" s="313">
        <f>'16 Generátory'!I42</f>
        <v>38460.181950020153</v>
      </c>
      <c r="F13" s="313">
        <f>'16 Generátory'!J42</f>
        <v>39655.011602600782</v>
      </c>
      <c r="G13" s="314">
        <f>'16 Generátory'!K42</f>
        <v>41003.281997089209</v>
      </c>
      <c r="H13" s="245"/>
    </row>
    <row r="14" spans="1:15" x14ac:dyDescent="0.2">
      <c r="A14" s="27" t="s">
        <v>48</v>
      </c>
      <c r="B14" s="311">
        <f>'8 Výsledovka'!H9</f>
        <v>129686</v>
      </c>
      <c r="C14" s="312">
        <f>'16 Generátory'!G47</f>
        <v>140482.91865566536</v>
      </c>
      <c r="D14" s="313">
        <f>'16 Generátory'!H47</f>
        <v>149957.76329328894</v>
      </c>
      <c r="E14" s="313">
        <f>'16 Generátory'!I47</f>
        <v>159124.60167671353</v>
      </c>
      <c r="F14" s="313">
        <f>'16 Generátory'!J47</f>
        <v>166821.08728733589</v>
      </c>
      <c r="G14" s="314">
        <f>'16 Generátory'!K47</f>
        <v>172493.0042551053</v>
      </c>
    </row>
    <row r="15" spans="1:15" x14ac:dyDescent="0.2">
      <c r="A15" s="42" t="s">
        <v>154</v>
      </c>
      <c r="B15" s="315">
        <f>'8 Výsledovka'!H13</f>
        <v>45372</v>
      </c>
      <c r="C15" s="316">
        <f>'16 Generátory'!C183</f>
        <v>45372</v>
      </c>
      <c r="D15" s="317">
        <f>'16 Generátory'!D183</f>
        <v>51032.026666666665</v>
      </c>
      <c r="E15" s="317">
        <f>'16 Generátory'!E183</f>
        <v>55634.720000000001</v>
      </c>
      <c r="F15" s="317">
        <f>'16 Generátory'!F183</f>
        <v>56977.746666666673</v>
      </c>
      <c r="G15" s="318">
        <f>'16 Generátory'!G183</f>
        <v>56620.69</v>
      </c>
    </row>
    <row r="16" spans="1:15" x14ac:dyDescent="0.2">
      <c r="A16" s="27" t="s">
        <v>50</v>
      </c>
      <c r="B16" s="311">
        <f>'8 Výsledovka'!H19</f>
        <v>4110</v>
      </c>
      <c r="C16" s="312">
        <f>C11*'16 Generátory'!G35</f>
        <v>6589.6034211345759</v>
      </c>
      <c r="D16" s="313">
        <f>D11*'16 Generátory'!H35</f>
        <v>7136.5405050887448</v>
      </c>
      <c r="E16" s="313">
        <f>E11*'16 Generátory'!I35</f>
        <v>7536.1867733737154</v>
      </c>
      <c r="F16" s="313">
        <f>F11*'16 Generátory'!J35</f>
        <v>7875.3151781755323</v>
      </c>
      <c r="G16" s="314">
        <f>G11*'16 Generátory'!K35</f>
        <v>8143.0758942334996</v>
      </c>
    </row>
    <row r="17" spans="1:7" x14ac:dyDescent="0.2">
      <c r="A17" s="27" t="s">
        <v>325</v>
      </c>
      <c r="B17" s="311">
        <f>'8 Výsledovka'!H20</f>
        <v>1094</v>
      </c>
      <c r="C17" s="312">
        <v>0</v>
      </c>
      <c r="D17" s="313">
        <v>0</v>
      </c>
      <c r="E17" s="313">
        <v>0</v>
      </c>
      <c r="F17" s="313">
        <v>0</v>
      </c>
      <c r="G17" s="314">
        <v>0</v>
      </c>
    </row>
    <row r="18" spans="1:7" ht="13.5" thickBot="1" x14ac:dyDescent="0.25">
      <c r="A18" s="390" t="s">
        <v>766</v>
      </c>
      <c r="B18" s="391">
        <f t="shared" ref="B18:G18" si="0">B11-SUM(B12:B17)</f>
        <v>71962</v>
      </c>
      <c r="C18" s="392">
        <f t="shared" si="0"/>
        <v>82643.869063800201</v>
      </c>
      <c r="D18" s="393">
        <f t="shared" si="0"/>
        <v>89794.39714022493</v>
      </c>
      <c r="E18" s="393">
        <f t="shared" si="0"/>
        <v>93077.983540077694</v>
      </c>
      <c r="F18" s="393">
        <f t="shared" si="0"/>
        <v>98427.028532715514</v>
      </c>
      <c r="G18" s="394">
        <f t="shared" si="0"/>
        <v>104067.84755616076</v>
      </c>
    </row>
    <row r="19" spans="1:7" x14ac:dyDescent="0.2">
      <c r="A19" s="263"/>
      <c r="B19" s="264"/>
      <c r="C19" s="264"/>
      <c r="D19" s="264"/>
      <c r="E19" s="264"/>
      <c r="F19" s="264"/>
    </row>
    <row r="20" spans="1:7" ht="18.75" thickBot="1" x14ac:dyDescent="0.3">
      <c r="A20" s="265" t="s">
        <v>331</v>
      </c>
      <c r="B20" s="266"/>
      <c r="C20" s="266"/>
      <c r="D20" s="266"/>
      <c r="E20" s="266"/>
      <c r="F20" s="266"/>
    </row>
    <row r="21" spans="1:7" ht="13.5" thickBot="1" x14ac:dyDescent="0.25">
      <c r="A21" s="765" t="s">
        <v>155</v>
      </c>
      <c r="B21" s="766">
        <f>výchozí_rok+4</f>
        <v>2016</v>
      </c>
      <c r="C21" s="767">
        <f>B21+1</f>
        <v>2017</v>
      </c>
      <c r="D21" s="768">
        <f>C21+1</f>
        <v>2018</v>
      </c>
      <c r="E21" s="768">
        <f>D21+1</f>
        <v>2019</v>
      </c>
      <c r="F21" s="768">
        <f>E21+1</f>
        <v>2020</v>
      </c>
      <c r="G21" s="769">
        <f>F21+1</f>
        <v>2021</v>
      </c>
    </row>
    <row r="22" spans="1:7" ht="13.5" thickBot="1" x14ac:dyDescent="0.25">
      <c r="A22" s="411" t="s">
        <v>58</v>
      </c>
      <c r="B22" s="412">
        <f>'8 Výsledovka'!H25</f>
        <v>10536</v>
      </c>
      <c r="C22" s="413">
        <f>$G$3*B131+$G$4*B132+$G$5*B134</f>
        <v>8746.77</v>
      </c>
      <c r="D22" s="414">
        <f>$G$3*C131+$G$4*C132+$G$5*C134</f>
        <v>8746.77</v>
      </c>
      <c r="E22" s="414">
        <f>$G$3*D131+$G$4*D132+$G$5*D134</f>
        <v>8746.77</v>
      </c>
      <c r="F22" s="414">
        <f>$G$3*E131+$G$4*E132+$G$5*E134</f>
        <v>8746.77</v>
      </c>
      <c r="G22" s="415">
        <f>$G$3*F131+$G$4*F132+$G$5*F134</f>
        <v>8746.77</v>
      </c>
    </row>
    <row r="23" spans="1:7" x14ac:dyDescent="0.2">
      <c r="A23" s="165"/>
      <c r="B23" s="24"/>
      <c r="C23" s="24"/>
      <c r="D23" s="24"/>
      <c r="E23" s="24"/>
      <c r="F23" s="24"/>
    </row>
    <row r="24" spans="1:7" ht="18.75" thickBot="1" x14ac:dyDescent="0.3">
      <c r="A24" s="261" t="s">
        <v>763</v>
      </c>
      <c r="B24" s="167"/>
      <c r="C24" s="168"/>
      <c r="D24" s="153"/>
      <c r="E24" s="439"/>
    </row>
    <row r="25" spans="1:7" ht="13.5" thickBot="1" x14ac:dyDescent="0.25">
      <c r="A25" s="765" t="s">
        <v>155</v>
      </c>
      <c r="B25" s="766">
        <f>výchozí_rok+4</f>
        <v>2016</v>
      </c>
      <c r="C25" s="767">
        <f>B25+1</f>
        <v>2017</v>
      </c>
      <c r="D25" s="768">
        <f>C25+1</f>
        <v>2018</v>
      </c>
      <c r="E25" s="768">
        <f>D25+1</f>
        <v>2019</v>
      </c>
      <c r="F25" s="768">
        <f>E25+1</f>
        <v>2020</v>
      </c>
      <c r="G25" s="769">
        <f>F25+1</f>
        <v>2021</v>
      </c>
    </row>
    <row r="26" spans="1:7" x14ac:dyDescent="0.2">
      <c r="A26" s="27" t="s">
        <v>56</v>
      </c>
      <c r="B26" s="311">
        <f>'8 Výsledovka'!H23</f>
        <v>63.7</v>
      </c>
      <c r="C26" s="312">
        <f>B26</f>
        <v>63.7</v>
      </c>
      <c r="D26" s="313">
        <f>C26</f>
        <v>63.7</v>
      </c>
      <c r="E26" s="313">
        <f>D26</f>
        <v>63.7</v>
      </c>
      <c r="F26" s="313">
        <f>E26</f>
        <v>63.7</v>
      </c>
      <c r="G26" s="314">
        <f>F26</f>
        <v>63.7</v>
      </c>
    </row>
    <row r="27" spans="1:7" x14ac:dyDescent="0.2">
      <c r="A27" s="27" t="s">
        <v>769</v>
      </c>
      <c r="B27" s="311">
        <f>'8 Výsledovka'!H24</f>
        <v>215.28786940332736</v>
      </c>
      <c r="C27" s="312">
        <f>B115*0.005</f>
        <v>254.07772027441112</v>
      </c>
      <c r="D27" s="313">
        <f>C115*0.005</f>
        <v>275.77808646909119</v>
      </c>
      <c r="E27" s="313">
        <f>D115*0.005</f>
        <v>278.96161109846719</v>
      </c>
      <c r="F27" s="313">
        <f>E115*0.005</f>
        <v>296.17927745602583</v>
      </c>
      <c r="G27" s="314">
        <f>F115*0.005</f>
        <v>293.03073602596226</v>
      </c>
    </row>
    <row r="28" spans="1:7" x14ac:dyDescent="0.2">
      <c r="A28" s="27" t="s">
        <v>764</v>
      </c>
      <c r="B28" s="311">
        <f>'8 Výsledovka'!H16-'8 Výsledovka'!H21</f>
        <v>2453</v>
      </c>
      <c r="C28" s="312">
        <v>0</v>
      </c>
      <c r="D28" s="313">
        <v>0</v>
      </c>
      <c r="E28" s="313">
        <v>0</v>
      </c>
      <c r="F28" s="313">
        <v>0</v>
      </c>
      <c r="G28" s="314">
        <v>0</v>
      </c>
    </row>
    <row r="29" spans="1:7" ht="13.5" thickBot="1" x14ac:dyDescent="0.25">
      <c r="A29" s="390" t="s">
        <v>765</v>
      </c>
      <c r="B29" s="391">
        <f t="shared" ref="B29:G29" si="1">SUM(B26:B28)</f>
        <v>2731.9878694033273</v>
      </c>
      <c r="C29" s="392">
        <f t="shared" si="1"/>
        <v>317.77772027441114</v>
      </c>
      <c r="D29" s="393">
        <f t="shared" si="1"/>
        <v>339.47808646909118</v>
      </c>
      <c r="E29" s="393">
        <f t="shared" si="1"/>
        <v>342.66161109846718</v>
      </c>
      <c r="F29" s="393">
        <f t="shared" si="1"/>
        <v>359.87927745602582</v>
      </c>
      <c r="G29" s="394">
        <f t="shared" si="1"/>
        <v>356.73073602596224</v>
      </c>
    </row>
    <row r="30" spans="1:7" x14ac:dyDescent="0.2">
      <c r="A30" s="263"/>
      <c r="B30" s="463"/>
      <c r="C30" s="463"/>
      <c r="D30" s="463"/>
      <c r="E30" s="463"/>
      <c r="F30" s="463"/>
    </row>
    <row r="31" spans="1:7" ht="18.75" thickBot="1" x14ac:dyDescent="0.3">
      <c r="A31" s="265" t="s">
        <v>332</v>
      </c>
      <c r="B31" s="464"/>
      <c r="C31" s="464"/>
      <c r="D31" s="464"/>
      <c r="E31" s="464"/>
      <c r="F31" s="464"/>
    </row>
    <row r="32" spans="1:7" ht="13.5" thickBot="1" x14ac:dyDescent="0.25">
      <c r="A32" s="765" t="s">
        <v>155</v>
      </c>
      <c r="B32" s="766">
        <f>výchozí_rok+4</f>
        <v>2016</v>
      </c>
      <c r="C32" s="767">
        <f>B32+1</f>
        <v>2017</v>
      </c>
      <c r="D32" s="768">
        <f>C32+1</f>
        <v>2018</v>
      </c>
      <c r="E32" s="768">
        <f>D32+1</f>
        <v>2019</v>
      </c>
      <c r="F32" s="768">
        <f>E32+1</f>
        <v>2020</v>
      </c>
      <c r="G32" s="769">
        <f>F32+1</f>
        <v>2021</v>
      </c>
    </row>
    <row r="33" spans="1:16" x14ac:dyDescent="0.2">
      <c r="A33" s="262" t="s">
        <v>355</v>
      </c>
      <c r="B33" s="322">
        <f t="shared" ref="B33:G33" si="2">B18-B22+B29</f>
        <v>64157.987869403325</v>
      </c>
      <c r="C33" s="323">
        <f t="shared" si="2"/>
        <v>74214.876784074615</v>
      </c>
      <c r="D33" s="324">
        <f t="shared" si="2"/>
        <v>81387.105226694024</v>
      </c>
      <c r="E33" s="324">
        <f t="shared" si="2"/>
        <v>84673.875151176151</v>
      </c>
      <c r="F33" s="324">
        <f t="shared" si="2"/>
        <v>90040.137810171538</v>
      </c>
      <c r="G33" s="325">
        <f t="shared" si="2"/>
        <v>95677.808292186717</v>
      </c>
    </row>
    <row r="34" spans="1:16" ht="13.5" thickBot="1" x14ac:dyDescent="0.25">
      <c r="A34" s="27" t="s">
        <v>335</v>
      </c>
      <c r="B34" s="311">
        <f>'8 Výsledovka'!H28</f>
        <v>12190.017695186632</v>
      </c>
      <c r="C34" s="312">
        <f>C33*C7</f>
        <v>14100.826588974178</v>
      </c>
      <c r="D34" s="313">
        <f>D33*D7</f>
        <v>15463.549993071865</v>
      </c>
      <c r="E34" s="313">
        <f>E33*E7</f>
        <v>16088.036278723468</v>
      </c>
      <c r="F34" s="313">
        <f>F33*F7</f>
        <v>17107.626183932593</v>
      </c>
      <c r="G34" s="314">
        <f>G33*G7</f>
        <v>18178.783575515477</v>
      </c>
    </row>
    <row r="35" spans="1:16" ht="13.5" thickBot="1" x14ac:dyDescent="0.25">
      <c r="A35" s="395" t="s">
        <v>344</v>
      </c>
      <c r="B35" s="396">
        <f t="shared" ref="B35:G35" si="3">B33-B34</f>
        <v>51967.970174216694</v>
      </c>
      <c r="C35" s="397">
        <f t="shared" si="3"/>
        <v>60114.050195100441</v>
      </c>
      <c r="D35" s="398">
        <f t="shared" si="3"/>
        <v>65923.555233622159</v>
      </c>
      <c r="E35" s="398">
        <f t="shared" si="3"/>
        <v>68585.838872452689</v>
      </c>
      <c r="F35" s="398">
        <f t="shared" si="3"/>
        <v>72932.511626238949</v>
      </c>
      <c r="G35" s="399">
        <f t="shared" si="3"/>
        <v>77499.024716671236</v>
      </c>
      <c r="H35" s="327"/>
    </row>
    <row r="36" spans="1:16" ht="38.25" customHeight="1" x14ac:dyDescent="0.2">
      <c r="B36" s="327"/>
      <c r="C36" s="327"/>
      <c r="D36" s="327"/>
      <c r="E36" s="327"/>
      <c r="F36" s="327"/>
      <c r="J36" s="327"/>
      <c r="K36" s="327"/>
      <c r="L36" s="327"/>
      <c r="M36" s="327"/>
      <c r="N36" s="327"/>
    </row>
    <row r="37" spans="1:16" ht="21" thickBot="1" x14ac:dyDescent="0.35">
      <c r="A37" s="164" t="s">
        <v>365</v>
      </c>
      <c r="B37" s="327"/>
      <c r="C37" s="327"/>
      <c r="D37" s="327"/>
      <c r="E37" s="327"/>
      <c r="F37" s="327"/>
      <c r="I37" s="164" t="s">
        <v>880</v>
      </c>
      <c r="J37" s="327"/>
      <c r="K37" s="327"/>
      <c r="L37" s="327"/>
      <c r="M37" s="327"/>
      <c r="N37" s="327"/>
    </row>
    <row r="38" spans="1:16" ht="13.5" thickBot="1" x14ac:dyDescent="0.25">
      <c r="A38" s="765" t="s">
        <v>155</v>
      </c>
      <c r="B38" s="766">
        <f>výchozí_rok+4</f>
        <v>2016</v>
      </c>
      <c r="C38" s="767">
        <f>B38+1</f>
        <v>2017</v>
      </c>
      <c r="D38" s="768">
        <f>C38+1</f>
        <v>2018</v>
      </c>
      <c r="E38" s="768">
        <f>D38+1</f>
        <v>2019</v>
      </c>
      <c r="F38" s="768">
        <f>E38+1</f>
        <v>2020</v>
      </c>
      <c r="G38" s="769">
        <f>F38+1</f>
        <v>2021</v>
      </c>
      <c r="I38" s="765" t="s">
        <v>155</v>
      </c>
      <c r="J38" s="766">
        <f>výchozí_rok+4</f>
        <v>2016</v>
      </c>
      <c r="K38" s="767">
        <f>J38+1</f>
        <v>2017</v>
      </c>
      <c r="L38" s="768">
        <f>K38+1</f>
        <v>2018</v>
      </c>
      <c r="M38" s="768">
        <f>L38+1</f>
        <v>2019</v>
      </c>
      <c r="N38" s="768">
        <f>M38+1</f>
        <v>2020</v>
      </c>
      <c r="O38" s="769">
        <f>N38+1</f>
        <v>2021</v>
      </c>
    </row>
    <row r="39" spans="1:16" ht="13.5" thickBot="1" x14ac:dyDescent="0.25">
      <c r="A39" s="169" t="s">
        <v>62</v>
      </c>
      <c r="B39" s="328">
        <f>'9 Cash flow'!F4</f>
        <v>43057.573880665528</v>
      </c>
      <c r="C39" s="329">
        <f>B93</f>
        <v>50815.544054882223</v>
      </c>
      <c r="D39" s="330">
        <f>C93</f>
        <v>55155.617293818235</v>
      </c>
      <c r="E39" s="331">
        <f>D93</f>
        <v>55792.322219693437</v>
      </c>
      <c r="F39" s="331">
        <f>E93</f>
        <v>59235.855491205162</v>
      </c>
      <c r="G39" s="332">
        <f>F93</f>
        <v>58606.14720519245</v>
      </c>
      <c r="I39" s="169" t="s">
        <v>881</v>
      </c>
      <c r="J39" s="328">
        <f>'16 Generátory'!E71-'16 Generátory'!E73</f>
        <v>14091.07388066547</v>
      </c>
      <c r="K39" s="329">
        <f>J93</f>
        <v>20702.444054882159</v>
      </c>
      <c r="L39" s="330">
        <f>K93</f>
        <v>19222.846906694882</v>
      </c>
      <c r="M39" s="331">
        <f>L93</f>
        <v>16877.13189043885</v>
      </c>
      <c r="N39" s="331">
        <f>M93</f>
        <v>17930.673780498517</v>
      </c>
      <c r="O39" s="332">
        <f>N93</f>
        <v>15442.232317504004</v>
      </c>
      <c r="P39" s="1410" t="s">
        <v>884</v>
      </c>
    </row>
    <row r="40" spans="1:16" ht="8.25" customHeight="1" x14ac:dyDescent="0.2">
      <c r="A40" s="268"/>
      <c r="B40" s="333"/>
      <c r="C40" s="333"/>
      <c r="D40" s="333"/>
      <c r="E40" s="333"/>
      <c r="F40" s="333"/>
      <c r="G40" s="333"/>
      <c r="I40" s="268"/>
      <c r="J40" s="333"/>
      <c r="K40" s="333"/>
      <c r="L40" s="333"/>
      <c r="M40" s="333"/>
      <c r="N40" s="333"/>
      <c r="O40" s="333"/>
    </row>
    <row r="41" spans="1:16" ht="18.75" thickBot="1" x14ac:dyDescent="0.3">
      <c r="A41" s="265" t="s">
        <v>336</v>
      </c>
      <c r="B41" s="334"/>
      <c r="C41" s="334"/>
      <c r="D41" s="334"/>
      <c r="E41" s="334"/>
      <c r="F41" s="334"/>
      <c r="G41" s="334"/>
      <c r="I41" s="265"/>
      <c r="J41" s="334"/>
      <c r="K41" s="334"/>
      <c r="L41" s="334"/>
      <c r="M41" s="334"/>
      <c r="N41" s="334"/>
      <c r="O41" s="334"/>
    </row>
    <row r="42" spans="1:16" ht="13.5" thickBot="1" x14ac:dyDescent="0.25">
      <c r="A42" s="765" t="s">
        <v>155</v>
      </c>
      <c r="B42" s="766">
        <f>výchozí_rok+4</f>
        <v>2016</v>
      </c>
      <c r="C42" s="767">
        <f>B42+1</f>
        <v>2017</v>
      </c>
      <c r="D42" s="768">
        <f>C42+1</f>
        <v>2018</v>
      </c>
      <c r="E42" s="768">
        <f>D42+1</f>
        <v>2019</v>
      </c>
      <c r="F42" s="768">
        <f>E42+1</f>
        <v>2020</v>
      </c>
      <c r="G42" s="769">
        <f>F42+1</f>
        <v>2021</v>
      </c>
      <c r="I42" s="765" t="s">
        <v>155</v>
      </c>
      <c r="J42" s="766">
        <f>výchozí_rok+4</f>
        <v>2016</v>
      </c>
      <c r="K42" s="767">
        <f>J42+1</f>
        <v>2017</v>
      </c>
      <c r="L42" s="768">
        <f>K42+1</f>
        <v>2018</v>
      </c>
      <c r="M42" s="768">
        <f>L42+1</f>
        <v>2019</v>
      </c>
      <c r="N42" s="768">
        <f>M42+1</f>
        <v>2020</v>
      </c>
      <c r="O42" s="769">
        <f>N42+1</f>
        <v>2021</v>
      </c>
    </row>
    <row r="43" spans="1:16" x14ac:dyDescent="0.2">
      <c r="A43" s="269" t="s">
        <v>341</v>
      </c>
      <c r="B43" s="272"/>
      <c r="C43" s="273"/>
      <c r="D43" s="274"/>
      <c r="E43" s="275"/>
      <c r="F43" s="275"/>
      <c r="G43" s="276"/>
      <c r="I43" s="269" t="str">
        <f>A43</f>
        <v>1) PENĚŽNÍ TOK Z PROVOZU</v>
      </c>
      <c r="J43" s="272"/>
      <c r="K43" s="273"/>
      <c r="L43" s="274"/>
      <c r="M43" s="275"/>
      <c r="N43" s="275"/>
      <c r="O43" s="276"/>
    </row>
    <row r="44" spans="1:16" ht="14.25" x14ac:dyDescent="0.25">
      <c r="A44" s="26" t="s">
        <v>767</v>
      </c>
      <c r="B44" s="277">
        <f t="shared" ref="B44:G44" si="4">B18</f>
        <v>71962</v>
      </c>
      <c r="C44" s="278">
        <f t="shared" si="4"/>
        <v>82643.869063800201</v>
      </c>
      <c r="D44" s="279">
        <f t="shared" si="4"/>
        <v>89794.39714022493</v>
      </c>
      <c r="E44" s="280">
        <f t="shared" si="4"/>
        <v>93077.983540077694</v>
      </c>
      <c r="F44" s="280">
        <f t="shared" si="4"/>
        <v>98427.028532715514</v>
      </c>
      <c r="G44" s="281">
        <f t="shared" si="4"/>
        <v>104067.84755616076</v>
      </c>
      <c r="I44" s="26"/>
      <c r="J44" s="277"/>
      <c r="K44" s="278"/>
      <c r="L44" s="279"/>
      <c r="M44" s="280"/>
      <c r="N44" s="280"/>
      <c r="O44" s="281"/>
    </row>
    <row r="45" spans="1:16" ht="15.75" x14ac:dyDescent="0.3">
      <c r="A45" s="27" t="s">
        <v>655</v>
      </c>
      <c r="B45" s="282">
        <f t="shared" ref="B45:G45" si="5">B44*B7</f>
        <v>13672.78</v>
      </c>
      <c r="C45" s="283">
        <f t="shared" si="5"/>
        <v>15702.335122122038</v>
      </c>
      <c r="D45" s="284">
        <f t="shared" si="5"/>
        <v>17060.935456642736</v>
      </c>
      <c r="E45" s="285">
        <f t="shared" si="5"/>
        <v>17684.816872614763</v>
      </c>
      <c r="F45" s="285">
        <f t="shared" si="5"/>
        <v>18701.135421215949</v>
      </c>
      <c r="G45" s="286">
        <f t="shared" si="5"/>
        <v>19772.891035670546</v>
      </c>
      <c r="I45" s="27"/>
      <c r="J45" s="282"/>
      <c r="K45" s="283"/>
      <c r="L45" s="284"/>
      <c r="M45" s="285"/>
      <c r="N45" s="285"/>
      <c r="O45" s="286"/>
    </row>
    <row r="46" spans="1:16" x14ac:dyDescent="0.2">
      <c r="A46" s="171" t="s">
        <v>656</v>
      </c>
      <c r="B46" s="287">
        <f t="shared" ref="B46:G46" si="6">B44-B45</f>
        <v>58289.22</v>
      </c>
      <c r="C46" s="288">
        <f t="shared" si="6"/>
        <v>66941.533941678164</v>
      </c>
      <c r="D46" s="289">
        <f t="shared" si="6"/>
        <v>72733.461683582194</v>
      </c>
      <c r="E46" s="290">
        <f t="shared" si="6"/>
        <v>75393.166667462938</v>
      </c>
      <c r="F46" s="290">
        <f t="shared" si="6"/>
        <v>79725.893111499565</v>
      </c>
      <c r="G46" s="291">
        <f t="shared" si="6"/>
        <v>84294.956520490217</v>
      </c>
      <c r="I46" s="171" t="str">
        <f>A46</f>
        <v>Korigovaný provozní VH po dani (KPVH)</v>
      </c>
      <c r="J46" s="287">
        <f t="shared" ref="J46:O47" si="7">B46</f>
        <v>58289.22</v>
      </c>
      <c r="K46" s="288">
        <f t="shared" si="7"/>
        <v>66941.533941678164</v>
      </c>
      <c r="L46" s="289">
        <f t="shared" si="7"/>
        <v>72733.461683582194</v>
      </c>
      <c r="M46" s="290">
        <f t="shared" si="7"/>
        <v>75393.166667462938</v>
      </c>
      <c r="N46" s="290">
        <f t="shared" si="7"/>
        <v>79725.893111499565</v>
      </c>
      <c r="O46" s="291">
        <f t="shared" si="7"/>
        <v>84294.956520490217</v>
      </c>
    </row>
    <row r="47" spans="1:16" x14ac:dyDescent="0.2">
      <c r="A47" s="26" t="s">
        <v>66</v>
      </c>
      <c r="B47" s="277">
        <f t="shared" ref="B47:G47" si="8">SUM(B48:B49)</f>
        <v>46466</v>
      </c>
      <c r="C47" s="278">
        <f t="shared" si="8"/>
        <v>45372</v>
      </c>
      <c r="D47" s="279">
        <f t="shared" si="8"/>
        <v>51032.026666666665</v>
      </c>
      <c r="E47" s="280">
        <f t="shared" si="8"/>
        <v>55634.720000000001</v>
      </c>
      <c r="F47" s="280">
        <f t="shared" si="8"/>
        <v>56977.746666666673</v>
      </c>
      <c r="G47" s="281">
        <f t="shared" si="8"/>
        <v>56620.69</v>
      </c>
      <c r="I47" s="26" t="str">
        <f>A47</f>
        <v>Úpravy o nepeněžní operace</v>
      </c>
      <c r="J47" s="277">
        <f t="shared" si="7"/>
        <v>46466</v>
      </c>
      <c r="K47" s="278">
        <f t="shared" si="7"/>
        <v>45372</v>
      </c>
      <c r="L47" s="279">
        <f t="shared" si="7"/>
        <v>51032.026666666665</v>
      </c>
      <c r="M47" s="280">
        <f t="shared" si="7"/>
        <v>55634.720000000001</v>
      </c>
      <c r="N47" s="280">
        <f t="shared" si="7"/>
        <v>56977.746666666673</v>
      </c>
      <c r="O47" s="281">
        <f t="shared" si="7"/>
        <v>56620.69</v>
      </c>
    </row>
    <row r="48" spans="1:16" x14ac:dyDescent="0.2">
      <c r="A48" s="27" t="s">
        <v>338</v>
      </c>
      <c r="B48" s="282">
        <f>'9 Cash flow'!F8</f>
        <v>45372</v>
      </c>
      <c r="C48" s="283">
        <f>C15</f>
        <v>45372</v>
      </c>
      <c r="D48" s="284">
        <f>D15</f>
        <v>51032.026666666665</v>
      </c>
      <c r="E48" s="285">
        <f>E15</f>
        <v>55634.720000000001</v>
      </c>
      <c r="F48" s="285">
        <f>F15</f>
        <v>56977.746666666673</v>
      </c>
      <c r="G48" s="286">
        <f>G15</f>
        <v>56620.69</v>
      </c>
      <c r="I48" s="27"/>
      <c r="J48" s="282"/>
      <c r="K48" s="283"/>
      <c r="L48" s="284"/>
      <c r="M48" s="285"/>
      <c r="N48" s="285"/>
      <c r="O48" s="286"/>
    </row>
    <row r="49" spans="1:16" x14ac:dyDescent="0.2">
      <c r="A49" s="42" t="s">
        <v>69</v>
      </c>
      <c r="B49" s="292">
        <f>'9 Cash flow'!F9</f>
        <v>1094</v>
      </c>
      <c r="C49" s="293">
        <f>C17</f>
        <v>0</v>
      </c>
      <c r="D49" s="294">
        <f>D17</f>
        <v>0</v>
      </c>
      <c r="E49" s="295">
        <f>E17</f>
        <v>0</v>
      </c>
      <c r="F49" s="295">
        <f>F17</f>
        <v>0</v>
      </c>
      <c r="G49" s="296">
        <f>G17</f>
        <v>0</v>
      </c>
      <c r="I49" s="42"/>
      <c r="J49" s="292"/>
      <c r="K49" s="293"/>
      <c r="L49" s="294"/>
      <c r="M49" s="295"/>
      <c r="N49" s="295"/>
      <c r="O49" s="296"/>
    </row>
    <row r="50" spans="1:16" x14ac:dyDescent="0.2">
      <c r="A50" s="26" t="s">
        <v>339</v>
      </c>
      <c r="B50" s="277">
        <f t="shared" ref="B50:G50" si="9">SUM(B51:B53)</f>
        <v>-15856</v>
      </c>
      <c r="C50" s="278">
        <f t="shared" si="9"/>
        <v>1568.8230438355822</v>
      </c>
      <c r="D50" s="279">
        <f t="shared" si="9"/>
        <v>-6907.0769744136196</v>
      </c>
      <c r="E50" s="280">
        <f t="shared" si="9"/>
        <v>-13203.225600940976</v>
      </c>
      <c r="F50" s="280">
        <f t="shared" si="9"/>
        <v>-1043.1665789183317</v>
      </c>
      <c r="G50" s="281">
        <f t="shared" si="9"/>
        <v>-823.63796775488299</v>
      </c>
      <c r="I50" s="27" t="s">
        <v>882</v>
      </c>
      <c r="J50" s="282">
        <f>-('16 Generátory'!F73-'16 Generátory'!E73)</f>
        <v>-1146.5999999999985</v>
      </c>
      <c r="K50" s="283">
        <f>-('16 Generátory'!G73-'16 Generátory'!F73)</f>
        <v>-5819.6703871232821</v>
      </c>
      <c r="L50" s="284">
        <f>-('16 Generátory'!H73-'16 Generátory'!G73)</f>
        <v>-2982.4199421312369</v>
      </c>
      <c r="M50" s="285">
        <f>-('16 Generátory'!I73-'16 Generátory'!H73)</f>
        <v>-2389.9913814520551</v>
      </c>
      <c r="N50" s="285">
        <f>-('16 Generátory'!J73-'16 Generátory'!I73)</f>
        <v>-1858.7331769818047</v>
      </c>
      <c r="O50" s="286">
        <f>-('16 Generátory'!K73-'16 Generátory'!J73)</f>
        <v>-1467.5731061814004</v>
      </c>
      <c r="P50" s="1410" t="s">
        <v>885</v>
      </c>
    </row>
    <row r="51" spans="1:16" x14ac:dyDescent="0.2">
      <c r="A51" s="27" t="s">
        <v>73</v>
      </c>
      <c r="B51" s="282">
        <f>'9 Cash flow'!F12</f>
        <v>-16942</v>
      </c>
      <c r="C51" s="283">
        <f>-('16 Generátory'!G79-'16 Generátory'!F79)</f>
        <v>-14582.246947945212</v>
      </c>
      <c r="D51" s="284">
        <f>-('16 Generátory'!H79-'16 Generátory'!G79)</f>
        <v>-6117.7844966794364</v>
      </c>
      <c r="E51" s="285">
        <f>-('16 Generátory'!I79-'16 Generátory'!H79)</f>
        <v>-4470.2577608989814</v>
      </c>
      <c r="F51" s="285">
        <f>-('16 Generátory'!J79-'16 Generátory'!I79)</f>
        <v>-3793.3330142485647</v>
      </c>
      <c r="G51" s="286">
        <f>-('16 Generátory'!K79-'16 Generátory'!J79)</f>
        <v>-2995.0471554722462</v>
      </c>
      <c r="H51" s="327"/>
      <c r="I51" s="27" t="str">
        <f t="shared" ref="I51:O53" si="10">A51</f>
        <v>Změna stavu pohledávek</v>
      </c>
      <c r="J51" s="282">
        <f t="shared" si="10"/>
        <v>-16942</v>
      </c>
      <c r="K51" s="283">
        <f t="shared" si="10"/>
        <v>-14582.246947945212</v>
      </c>
      <c r="L51" s="284">
        <f t="shared" si="10"/>
        <v>-6117.7844966794364</v>
      </c>
      <c r="M51" s="285">
        <f t="shared" si="10"/>
        <v>-4470.2577608989814</v>
      </c>
      <c r="N51" s="285">
        <f t="shared" si="10"/>
        <v>-3793.3330142485647</v>
      </c>
      <c r="O51" s="286">
        <f t="shared" si="10"/>
        <v>-2995.0471554722462</v>
      </c>
    </row>
    <row r="52" spans="1:16" x14ac:dyDescent="0.2">
      <c r="A52" s="27" t="s">
        <v>768</v>
      </c>
      <c r="B52" s="282">
        <f>'9 Cash flow'!F13</f>
        <v>5986</v>
      </c>
      <c r="C52" s="283">
        <f>'16 Generátory'!G82-'16 Generátory'!F82</f>
        <v>38797.802580821881</v>
      </c>
      <c r="D52" s="284">
        <f>'16 Generátory'!H82-'16 Generátory'!G82</f>
        <v>19882.799614208256</v>
      </c>
      <c r="E52" s="285">
        <f>'16 Generátory'!I82-'16 Generátory'!H82</f>
        <v>15933.275876347034</v>
      </c>
      <c r="F52" s="285">
        <f>'16 Generátory'!J82-'16 Generátory'!I82</f>
        <v>12391.554513212002</v>
      </c>
      <c r="G52" s="286">
        <f>'16 Generátory'!K82-'16 Generátory'!J82</f>
        <v>9783.8207078760024</v>
      </c>
      <c r="H52" s="327"/>
      <c r="I52" s="27" t="str">
        <f t="shared" si="10"/>
        <v>Změna stavu krátkodobých závazků neúročených</v>
      </c>
      <c r="J52" s="282">
        <f t="shared" si="10"/>
        <v>5986</v>
      </c>
      <c r="K52" s="283">
        <f t="shared" si="10"/>
        <v>38797.802580821881</v>
      </c>
      <c r="L52" s="284">
        <f t="shared" si="10"/>
        <v>19882.799614208256</v>
      </c>
      <c r="M52" s="285">
        <f t="shared" si="10"/>
        <v>15933.275876347034</v>
      </c>
      <c r="N52" s="285">
        <f t="shared" si="10"/>
        <v>12391.554513212002</v>
      </c>
      <c r="O52" s="286">
        <f t="shared" si="10"/>
        <v>9783.8207078760024</v>
      </c>
    </row>
    <row r="53" spans="1:16" x14ac:dyDescent="0.2">
      <c r="A53" s="27" t="s">
        <v>76</v>
      </c>
      <c r="B53" s="282">
        <f>'9 Cash flow'!F14</f>
        <v>-4900</v>
      </c>
      <c r="C53" s="283">
        <f>-('16 Generátory'!G78-'16 Generátory'!F78)</f>
        <v>-22646.732589041087</v>
      </c>
      <c r="D53" s="284">
        <f>-('16 Generátory'!H78-'16 Generátory'!G78)</f>
        <v>-20672.092091942439</v>
      </c>
      <c r="E53" s="285">
        <f>-('16 Generátory'!I78-'16 Generátory'!H78)</f>
        <v>-24666.243716389028</v>
      </c>
      <c r="F53" s="285">
        <f>-('16 Generátory'!J78-'16 Generátory'!I78)</f>
        <v>-9641.3880778817693</v>
      </c>
      <c r="G53" s="286">
        <f>-('16 Generátory'!K78-'16 Generátory'!J78)</f>
        <v>-7612.4115201586392</v>
      </c>
      <c r="H53" s="327"/>
      <c r="I53" s="27" t="str">
        <f t="shared" si="10"/>
        <v>Změna stavu zásob</v>
      </c>
      <c r="J53" s="282">
        <f t="shared" si="10"/>
        <v>-4900</v>
      </c>
      <c r="K53" s="283">
        <f t="shared" si="10"/>
        <v>-22646.732589041087</v>
      </c>
      <c r="L53" s="284">
        <f t="shared" si="10"/>
        <v>-20672.092091942439</v>
      </c>
      <c r="M53" s="285">
        <f t="shared" si="10"/>
        <v>-24666.243716389028</v>
      </c>
      <c r="N53" s="285">
        <f t="shared" si="10"/>
        <v>-9641.3880778817693</v>
      </c>
      <c r="O53" s="286">
        <f t="shared" si="10"/>
        <v>-7612.4115201586392</v>
      </c>
    </row>
    <row r="54" spans="1:16" ht="13.5" thickBot="1" x14ac:dyDescent="0.25">
      <c r="A54" s="60" t="s">
        <v>890</v>
      </c>
      <c r="B54" s="297">
        <f t="shared" ref="B54:G54" si="11">B46+B47+B50</f>
        <v>88899.22</v>
      </c>
      <c r="C54" s="298">
        <f t="shared" si="11"/>
        <v>113882.35698551375</v>
      </c>
      <c r="D54" s="299">
        <f t="shared" si="11"/>
        <v>116858.41137583525</v>
      </c>
      <c r="E54" s="300">
        <f t="shared" si="11"/>
        <v>117824.66106652196</v>
      </c>
      <c r="F54" s="300">
        <f t="shared" si="11"/>
        <v>135660.47319924791</v>
      </c>
      <c r="G54" s="301">
        <f t="shared" si="11"/>
        <v>140092.00855273535</v>
      </c>
      <c r="I54" s="60" t="str">
        <f>A54</f>
        <v>Pen.tok z prov. činnosti celkem (bez nutných peněz)</v>
      </c>
      <c r="J54" s="297">
        <f t="shared" ref="J54:O54" si="12">SUM(J46:J53)</f>
        <v>87752.62</v>
      </c>
      <c r="K54" s="298">
        <f t="shared" si="12"/>
        <v>108062.68659839046</v>
      </c>
      <c r="L54" s="299">
        <f t="shared" si="12"/>
        <v>113875.99143370401</v>
      </c>
      <c r="M54" s="300">
        <f t="shared" si="12"/>
        <v>115434.66968506991</v>
      </c>
      <c r="N54" s="300">
        <f t="shared" si="12"/>
        <v>133801.74002226611</v>
      </c>
      <c r="O54" s="301">
        <f t="shared" si="12"/>
        <v>138624.43544655395</v>
      </c>
    </row>
    <row r="55" spans="1:16" x14ac:dyDescent="0.2">
      <c r="A55" s="270" t="s">
        <v>342</v>
      </c>
      <c r="B55" s="302"/>
      <c r="C55" s="303"/>
      <c r="D55" s="304"/>
      <c r="E55" s="305"/>
      <c r="F55" s="305"/>
      <c r="G55" s="306"/>
      <c r="I55" s="270" t="str">
        <f>A55</f>
        <v>2) INVESTIČNÍ ČINNOST</v>
      </c>
      <c r="J55" s="302"/>
      <c r="K55" s="303"/>
      <c r="L55" s="304"/>
      <c r="M55" s="305"/>
      <c r="N55" s="305"/>
      <c r="O55" s="306"/>
    </row>
    <row r="56" spans="1:16" x14ac:dyDescent="0.2">
      <c r="A56" s="1181" t="s">
        <v>340</v>
      </c>
      <c r="B56" s="1182">
        <f>'9 Cash flow'!F19</f>
        <v>-79078</v>
      </c>
      <c r="C56" s="1183">
        <f>-'16 Generátory'!C185</f>
        <v>-80268.800000000003</v>
      </c>
      <c r="D56" s="1184">
        <f>-'16 Generátory'!D185</f>
        <v>-84642.8</v>
      </c>
      <c r="E56" s="1185">
        <f>-'16 Generátory'!E185</f>
        <v>-80741.8</v>
      </c>
      <c r="F56" s="1185">
        <f>-'16 Generátory'!F185</f>
        <v>-96676.800000000003</v>
      </c>
      <c r="G56" s="1186">
        <f>-'16 Generátory'!G185</f>
        <v>-96163.799999999988</v>
      </c>
      <c r="I56" s="1181"/>
      <c r="J56" s="1182"/>
      <c r="K56" s="1183"/>
      <c r="L56" s="1184"/>
      <c r="M56" s="1185"/>
      <c r="N56" s="1185"/>
      <c r="O56" s="1186"/>
    </row>
    <row r="57" spans="1:16" ht="13.5" thickBot="1" x14ac:dyDescent="0.25">
      <c r="A57" s="34" t="s">
        <v>84</v>
      </c>
      <c r="B57" s="307">
        <f t="shared" ref="B57:G57" si="13">B56</f>
        <v>-79078</v>
      </c>
      <c r="C57" s="308">
        <f t="shared" si="13"/>
        <v>-80268.800000000003</v>
      </c>
      <c r="D57" s="309">
        <f t="shared" si="13"/>
        <v>-84642.8</v>
      </c>
      <c r="E57" s="309">
        <f t="shared" si="13"/>
        <v>-80741.8</v>
      </c>
      <c r="F57" s="309">
        <f t="shared" si="13"/>
        <v>-96676.800000000003</v>
      </c>
      <c r="G57" s="310">
        <f t="shared" si="13"/>
        <v>-96163.799999999988</v>
      </c>
      <c r="H57" s="327"/>
      <c r="I57" s="34" t="str">
        <f t="shared" ref="I57:O57" si="14">A57</f>
        <v>Peněžní tok z investiční činnosti celkem</v>
      </c>
      <c r="J57" s="307">
        <f t="shared" si="14"/>
        <v>-79078</v>
      </c>
      <c r="K57" s="308">
        <f t="shared" si="14"/>
        <v>-80268.800000000003</v>
      </c>
      <c r="L57" s="309">
        <f t="shared" si="14"/>
        <v>-84642.8</v>
      </c>
      <c r="M57" s="309">
        <f t="shared" si="14"/>
        <v>-80741.8</v>
      </c>
      <c r="N57" s="309">
        <f t="shared" si="14"/>
        <v>-96676.800000000003</v>
      </c>
      <c r="O57" s="310">
        <f t="shared" si="14"/>
        <v>-96163.799999999988</v>
      </c>
    </row>
    <row r="58" spans="1:16" ht="13.5" thickBot="1" x14ac:dyDescent="0.25">
      <c r="A58" s="400" t="s">
        <v>891</v>
      </c>
      <c r="B58" s="401">
        <f t="shared" ref="B58:G58" si="15">B57+B54</f>
        <v>9821.2200000000012</v>
      </c>
      <c r="C58" s="402">
        <f t="shared" si="15"/>
        <v>33613.556985513744</v>
      </c>
      <c r="D58" s="403">
        <f t="shared" si="15"/>
        <v>32215.611375835244</v>
      </c>
      <c r="E58" s="403">
        <f t="shared" si="15"/>
        <v>37082.86106652196</v>
      </c>
      <c r="F58" s="403">
        <f t="shared" si="15"/>
        <v>38983.673199247904</v>
      </c>
      <c r="G58" s="404">
        <f t="shared" si="15"/>
        <v>43928.208552735363</v>
      </c>
      <c r="I58" s="400" t="s">
        <v>237</v>
      </c>
      <c r="J58" s="401">
        <f t="shared" ref="J58:O58" si="16">J57+J54</f>
        <v>8674.6199999999953</v>
      </c>
      <c r="K58" s="402">
        <f t="shared" si="16"/>
        <v>27793.886598390454</v>
      </c>
      <c r="L58" s="403">
        <f t="shared" si="16"/>
        <v>29233.191433704007</v>
      </c>
      <c r="M58" s="403">
        <f t="shared" si="16"/>
        <v>34692.869685069905</v>
      </c>
      <c r="N58" s="403">
        <f t="shared" si="16"/>
        <v>37124.940022266106</v>
      </c>
      <c r="O58" s="404">
        <f t="shared" si="16"/>
        <v>42460.635446553963</v>
      </c>
      <c r="P58" s="1410" t="s">
        <v>886</v>
      </c>
    </row>
    <row r="59" spans="1:16" ht="7.5" customHeight="1" x14ac:dyDescent="0.2">
      <c r="C59" s="12"/>
      <c r="D59" s="12"/>
      <c r="E59" s="12"/>
      <c r="F59" s="12"/>
      <c r="G59" s="12"/>
      <c r="K59" s="12"/>
      <c r="L59" s="12"/>
      <c r="M59" s="12"/>
      <c r="N59" s="12"/>
      <c r="O59" s="12"/>
    </row>
    <row r="60" spans="1:16" ht="18.75" thickBot="1" x14ac:dyDescent="0.3">
      <c r="A60" s="265" t="s">
        <v>331</v>
      </c>
      <c r="B60" s="266"/>
      <c r="C60" s="266"/>
      <c r="D60" s="266"/>
      <c r="E60" s="266"/>
      <c r="F60" s="266"/>
      <c r="G60" s="266"/>
    </row>
    <row r="61" spans="1:16" ht="13.5" thickBot="1" x14ac:dyDescent="0.25">
      <c r="A61" s="765" t="s">
        <v>155</v>
      </c>
      <c r="B61" s="766">
        <f>výchozí_rok+4</f>
        <v>2016</v>
      </c>
      <c r="C61" s="767">
        <f>B61+1</f>
        <v>2017</v>
      </c>
      <c r="D61" s="768">
        <f>C61+1</f>
        <v>2018</v>
      </c>
      <c r="E61" s="768">
        <f>D61+1</f>
        <v>2019</v>
      </c>
      <c r="F61" s="768">
        <f>E61+1</f>
        <v>2020</v>
      </c>
      <c r="G61" s="769">
        <f>F61+1</f>
        <v>2021</v>
      </c>
    </row>
    <row r="62" spans="1:16" ht="13.5" thickBot="1" x14ac:dyDescent="0.25">
      <c r="A62" s="400" t="s">
        <v>345</v>
      </c>
      <c r="B62" s="401">
        <f t="shared" ref="B62:G62" si="17">-B22</f>
        <v>-10536</v>
      </c>
      <c r="C62" s="402">
        <f t="shared" si="17"/>
        <v>-8746.77</v>
      </c>
      <c r="D62" s="403">
        <f t="shared" si="17"/>
        <v>-8746.77</v>
      </c>
      <c r="E62" s="403">
        <f t="shared" si="17"/>
        <v>-8746.77</v>
      </c>
      <c r="F62" s="403">
        <f t="shared" si="17"/>
        <v>-8746.77</v>
      </c>
      <c r="G62" s="404">
        <f t="shared" si="17"/>
        <v>-8746.77</v>
      </c>
    </row>
    <row r="63" spans="1:16" ht="9" customHeight="1" x14ac:dyDescent="0.2">
      <c r="A63" s="4"/>
      <c r="B63" s="335"/>
      <c r="C63" s="335"/>
      <c r="D63" s="335"/>
      <c r="E63" s="335"/>
      <c r="F63" s="335"/>
      <c r="G63" s="335"/>
    </row>
    <row r="64" spans="1:16" ht="18.75" thickBot="1" x14ac:dyDescent="0.3">
      <c r="A64" s="265" t="s">
        <v>347</v>
      </c>
      <c r="B64" s="334"/>
      <c r="C64" s="334"/>
      <c r="D64" s="334"/>
      <c r="E64" s="334"/>
      <c r="F64" s="334"/>
      <c r="G64" s="334"/>
    </row>
    <row r="65" spans="1:7" ht="13.5" thickBot="1" x14ac:dyDescent="0.25">
      <c r="A65" s="765" t="s">
        <v>155</v>
      </c>
      <c r="B65" s="766">
        <f>výchozí_rok+4</f>
        <v>2016</v>
      </c>
      <c r="C65" s="767">
        <f>B65+1</f>
        <v>2017</v>
      </c>
      <c r="D65" s="768">
        <f>C65+1</f>
        <v>2018</v>
      </c>
      <c r="E65" s="768">
        <f>D65+1</f>
        <v>2019</v>
      </c>
      <c r="F65" s="768">
        <f>E65+1</f>
        <v>2020</v>
      </c>
      <c r="G65" s="769">
        <f>F65+1</f>
        <v>2021</v>
      </c>
    </row>
    <row r="66" spans="1:7" x14ac:dyDescent="0.2">
      <c r="A66" s="262" t="s">
        <v>532</v>
      </c>
      <c r="B66" s="422">
        <f t="shared" ref="B66:G66" si="18">SUM(B67:B70)</f>
        <v>4214.7501742166951</v>
      </c>
      <c r="C66" s="423">
        <f t="shared" si="18"/>
        <v>1919.2862534222716</v>
      </c>
      <c r="D66" s="424">
        <f t="shared" si="18"/>
        <v>1936.8635500399614</v>
      </c>
      <c r="E66" s="425">
        <f t="shared" si="18"/>
        <v>1939.4422049897623</v>
      </c>
      <c r="F66" s="425">
        <f t="shared" si="18"/>
        <v>1953.3885147393828</v>
      </c>
      <c r="G66" s="426">
        <f t="shared" si="18"/>
        <v>1950.8381961810303</v>
      </c>
    </row>
    <row r="67" spans="1:7" x14ac:dyDescent="0.2">
      <c r="A67" s="271" t="s">
        <v>56</v>
      </c>
      <c r="B67" s="406">
        <f t="shared" ref="B67:F68" si="19">B26</f>
        <v>63.7</v>
      </c>
      <c r="C67" s="407">
        <f t="shared" si="19"/>
        <v>63.7</v>
      </c>
      <c r="D67" s="408">
        <f t="shared" si="19"/>
        <v>63.7</v>
      </c>
      <c r="E67" s="409">
        <f t="shared" si="19"/>
        <v>63.7</v>
      </c>
      <c r="F67" s="409">
        <f t="shared" si="19"/>
        <v>63.7</v>
      </c>
      <c r="G67" s="410">
        <f>G26</f>
        <v>63.7</v>
      </c>
    </row>
    <row r="68" spans="1:7" x14ac:dyDescent="0.2">
      <c r="A68" s="271" t="s">
        <v>769</v>
      </c>
      <c r="B68" s="406">
        <f t="shared" si="19"/>
        <v>215.28786940332736</v>
      </c>
      <c r="C68" s="407">
        <f t="shared" si="19"/>
        <v>254.07772027441112</v>
      </c>
      <c r="D68" s="408">
        <f t="shared" si="19"/>
        <v>275.77808646909119</v>
      </c>
      <c r="E68" s="409">
        <f t="shared" si="19"/>
        <v>278.96161109846719</v>
      </c>
      <c r="F68" s="409">
        <f t="shared" si="19"/>
        <v>296.17927745602583</v>
      </c>
      <c r="G68" s="410">
        <f>G27</f>
        <v>293.03073602596226</v>
      </c>
    </row>
    <row r="69" spans="1:7" x14ac:dyDescent="0.2">
      <c r="A69" s="271" t="s">
        <v>640</v>
      </c>
      <c r="B69" s="406">
        <f t="shared" ref="B69:G69" si="20">-(B34-B45)</f>
        <v>1482.7623048133682</v>
      </c>
      <c r="C69" s="407">
        <f t="shared" si="20"/>
        <v>1601.5085331478604</v>
      </c>
      <c r="D69" s="408">
        <f t="shared" si="20"/>
        <v>1597.3854635708703</v>
      </c>
      <c r="E69" s="409">
        <f t="shared" si="20"/>
        <v>1596.7805938912952</v>
      </c>
      <c r="F69" s="409">
        <f t="shared" si="20"/>
        <v>1593.5092372833569</v>
      </c>
      <c r="G69" s="410">
        <f t="shared" si="20"/>
        <v>1594.1074601550681</v>
      </c>
    </row>
    <row r="70" spans="1:7" x14ac:dyDescent="0.2">
      <c r="A70" s="427" t="s">
        <v>354</v>
      </c>
      <c r="B70" s="428">
        <f t="shared" ref="B70:G70" si="21">B28</f>
        <v>2453</v>
      </c>
      <c r="C70" s="429">
        <f t="shared" si="21"/>
        <v>0</v>
      </c>
      <c r="D70" s="430">
        <f t="shared" si="21"/>
        <v>0</v>
      </c>
      <c r="E70" s="431">
        <f t="shared" si="21"/>
        <v>0</v>
      </c>
      <c r="F70" s="431">
        <f t="shared" si="21"/>
        <v>0</v>
      </c>
      <c r="G70" s="432">
        <f t="shared" si="21"/>
        <v>0</v>
      </c>
    </row>
    <row r="71" spans="1:7" x14ac:dyDescent="0.2">
      <c r="A71" s="262" t="s">
        <v>352</v>
      </c>
      <c r="B71" s="422">
        <f t="shared" ref="B71:G71" si="22">B72</f>
        <v>0</v>
      </c>
      <c r="C71" s="423">
        <f t="shared" si="22"/>
        <v>0</v>
      </c>
      <c r="D71" s="424">
        <f t="shared" si="22"/>
        <v>0</v>
      </c>
      <c r="E71" s="425">
        <f t="shared" si="22"/>
        <v>0</v>
      </c>
      <c r="F71" s="425">
        <f t="shared" si="22"/>
        <v>0</v>
      </c>
      <c r="G71" s="426">
        <f t="shared" si="22"/>
        <v>0</v>
      </c>
    </row>
    <row r="72" spans="1:7" x14ac:dyDescent="0.2">
      <c r="A72" s="42" t="s">
        <v>82</v>
      </c>
      <c r="B72" s="292">
        <v>0</v>
      </c>
      <c r="C72" s="293">
        <v>0</v>
      </c>
      <c r="D72" s="294">
        <v>0</v>
      </c>
      <c r="E72" s="295">
        <v>0</v>
      </c>
      <c r="F72" s="295">
        <v>0</v>
      </c>
      <c r="G72" s="296">
        <v>0</v>
      </c>
    </row>
    <row r="73" spans="1:7" x14ac:dyDescent="0.2">
      <c r="A73" s="26" t="s">
        <v>353</v>
      </c>
      <c r="B73" s="277">
        <f t="shared" ref="B73:G73" si="23">B74</f>
        <v>768</v>
      </c>
      <c r="C73" s="278">
        <f t="shared" si="23"/>
        <v>1600</v>
      </c>
      <c r="D73" s="279">
        <f t="shared" si="23"/>
        <v>1600</v>
      </c>
      <c r="E73" s="280">
        <f t="shared" si="23"/>
        <v>4032</v>
      </c>
      <c r="F73" s="280">
        <f t="shared" si="23"/>
        <v>0</v>
      </c>
      <c r="G73" s="281">
        <f t="shared" si="23"/>
        <v>0</v>
      </c>
    </row>
    <row r="74" spans="1:7" x14ac:dyDescent="0.2">
      <c r="A74" s="27" t="s">
        <v>343</v>
      </c>
      <c r="B74" s="282">
        <f>-('7 Rozvaha'!G13-'7 Rozvaha'!F13)</f>
        <v>768</v>
      </c>
      <c r="C74" s="283">
        <f>-(C108-B108)</f>
        <v>1600</v>
      </c>
      <c r="D74" s="284">
        <f>-(D108-C108)</f>
        <v>1600</v>
      </c>
      <c r="E74" s="285">
        <f>-(E108-D108)</f>
        <v>4032</v>
      </c>
      <c r="F74" s="285">
        <f>-(F108-E108)</f>
        <v>0</v>
      </c>
      <c r="G74" s="286">
        <f>-(G108-F108)</f>
        <v>0</v>
      </c>
    </row>
    <row r="75" spans="1:7" ht="13.5" thickBot="1" x14ac:dyDescent="0.25">
      <c r="A75" s="390" t="s">
        <v>346</v>
      </c>
      <c r="B75" s="416">
        <f t="shared" ref="B75:G75" si="24">B66+B71+B73</f>
        <v>4982.7501742166951</v>
      </c>
      <c r="C75" s="417">
        <f t="shared" si="24"/>
        <v>3519.2862534222713</v>
      </c>
      <c r="D75" s="418">
        <f t="shared" si="24"/>
        <v>3536.8635500399614</v>
      </c>
      <c r="E75" s="419">
        <f t="shared" si="24"/>
        <v>5971.4422049897621</v>
      </c>
      <c r="F75" s="419">
        <f t="shared" si="24"/>
        <v>1953.3885147393828</v>
      </c>
      <c r="G75" s="420">
        <f t="shared" si="24"/>
        <v>1950.8381961810303</v>
      </c>
    </row>
    <row r="76" spans="1:7" x14ac:dyDescent="0.2">
      <c r="A76" s="895" t="s">
        <v>361</v>
      </c>
      <c r="B76" s="405"/>
      <c r="C76" s="405"/>
      <c r="D76" s="405"/>
      <c r="E76" s="405"/>
      <c r="F76" s="405"/>
      <c r="G76" s="405"/>
    </row>
    <row r="77" spans="1:7" x14ac:dyDescent="0.2">
      <c r="A77" s="440" t="s">
        <v>360</v>
      </c>
      <c r="B77" s="405"/>
      <c r="C77" s="405"/>
      <c r="D77" s="405"/>
      <c r="E77" s="405"/>
      <c r="F77" s="405"/>
      <c r="G77" s="405"/>
    </row>
    <row r="78" spans="1:7" ht="7.5" customHeight="1" x14ac:dyDescent="0.2">
      <c r="A78" s="65"/>
      <c r="B78" s="421"/>
      <c r="C78" s="421"/>
      <c r="D78" s="421"/>
      <c r="E78" s="421"/>
      <c r="F78" s="421"/>
      <c r="G78" s="421"/>
    </row>
    <row r="79" spans="1:7" ht="18.75" thickBot="1" x14ac:dyDescent="0.3">
      <c r="A79" s="265" t="s">
        <v>348</v>
      </c>
      <c r="B79" s="334"/>
      <c r="C79" s="334"/>
      <c r="D79" s="334"/>
      <c r="E79" s="334"/>
      <c r="F79" s="334"/>
      <c r="G79" s="334"/>
    </row>
    <row r="80" spans="1:7" ht="13.5" thickBot="1" x14ac:dyDescent="0.25">
      <c r="A80" s="765" t="s">
        <v>155</v>
      </c>
      <c r="B80" s="766">
        <f>výchozí_rok+4</f>
        <v>2016</v>
      </c>
      <c r="C80" s="767">
        <f>B80+1</f>
        <v>2017</v>
      </c>
      <c r="D80" s="768">
        <f>C80+1</f>
        <v>2018</v>
      </c>
      <c r="E80" s="768">
        <f>D80+1</f>
        <v>2019</v>
      </c>
      <c r="F80" s="768">
        <f>E80+1</f>
        <v>2020</v>
      </c>
      <c r="G80" s="769">
        <f>F80+1</f>
        <v>2021</v>
      </c>
    </row>
    <row r="81" spans="1:16" x14ac:dyDescent="0.2">
      <c r="A81" s="26" t="s">
        <v>747</v>
      </c>
      <c r="B81" s="277">
        <f t="shared" ref="B81:G81" si="25">SUM(B82:B84)</f>
        <v>19490</v>
      </c>
      <c r="C81" s="278">
        <f t="shared" si="25"/>
        <v>0</v>
      </c>
      <c r="D81" s="279">
        <f t="shared" si="25"/>
        <v>0</v>
      </c>
      <c r="E81" s="280">
        <f t="shared" si="25"/>
        <v>0</v>
      </c>
      <c r="F81" s="280">
        <f t="shared" si="25"/>
        <v>0</v>
      </c>
      <c r="G81" s="281">
        <f t="shared" si="25"/>
        <v>0</v>
      </c>
    </row>
    <row r="82" spans="1:16" x14ac:dyDescent="0.2">
      <c r="A82" s="27" t="s">
        <v>349</v>
      </c>
      <c r="B82" s="282">
        <f>'9 Cash flow'!F25</f>
        <v>24960</v>
      </c>
      <c r="C82" s="283">
        <v>0</v>
      </c>
      <c r="D82" s="284">
        <v>0</v>
      </c>
      <c r="E82" s="285">
        <v>0</v>
      </c>
      <c r="F82" s="285">
        <v>0</v>
      </c>
      <c r="G82" s="286">
        <v>0</v>
      </c>
    </row>
    <row r="83" spans="1:16" x14ac:dyDescent="0.2">
      <c r="A83" s="27" t="s">
        <v>773</v>
      </c>
      <c r="B83" s="282">
        <f>'9 Cash flow'!F26</f>
        <v>2490</v>
      </c>
      <c r="C83" s="283">
        <v>0</v>
      </c>
      <c r="D83" s="284">
        <v>0</v>
      </c>
      <c r="E83" s="285">
        <v>0</v>
      </c>
      <c r="F83" s="285">
        <v>0</v>
      </c>
      <c r="G83" s="286">
        <v>0</v>
      </c>
    </row>
    <row r="84" spans="1:16" x14ac:dyDescent="0.2">
      <c r="A84" s="42" t="s">
        <v>95</v>
      </c>
      <c r="B84" s="292">
        <f>'9 Cash flow'!F27</f>
        <v>-7960</v>
      </c>
      <c r="C84" s="293">
        <v>0</v>
      </c>
      <c r="D84" s="294">
        <v>0</v>
      </c>
      <c r="E84" s="295">
        <v>0</v>
      </c>
      <c r="F84" s="295">
        <v>0</v>
      </c>
      <c r="G84" s="296">
        <v>0</v>
      </c>
    </row>
    <row r="85" spans="1:16" x14ac:dyDescent="0.2">
      <c r="A85" s="26" t="s">
        <v>749</v>
      </c>
      <c r="B85" s="277">
        <f t="shared" ref="B85:G85" si="26">SUM(B86:B87)</f>
        <v>-16000</v>
      </c>
      <c r="C85" s="278">
        <f t="shared" si="26"/>
        <v>-24046</v>
      </c>
      <c r="D85" s="279">
        <f t="shared" si="26"/>
        <v>-26369</v>
      </c>
      <c r="E85" s="280">
        <f t="shared" si="26"/>
        <v>-30864</v>
      </c>
      <c r="F85" s="280">
        <f t="shared" si="26"/>
        <v>-32820</v>
      </c>
      <c r="G85" s="281">
        <f t="shared" si="26"/>
        <v>-34875</v>
      </c>
    </row>
    <row r="86" spans="1:16" x14ac:dyDescent="0.2">
      <c r="A86" s="27" t="s">
        <v>770</v>
      </c>
      <c r="B86" s="282">
        <f>'9 Cash flow'!F29</f>
        <v>0</v>
      </c>
      <c r="C86" s="283">
        <v>0</v>
      </c>
      <c r="D86" s="284">
        <v>0</v>
      </c>
      <c r="E86" s="285">
        <v>0</v>
      </c>
      <c r="F86" s="285">
        <v>0</v>
      </c>
      <c r="G86" s="286">
        <v>0</v>
      </c>
    </row>
    <row r="87" spans="1:16" x14ac:dyDescent="0.2">
      <c r="A87" s="27" t="s">
        <v>322</v>
      </c>
      <c r="B87" s="311">
        <f>'9 Cash flow'!F30</f>
        <v>-16000</v>
      </c>
      <c r="C87" s="312">
        <f>-ROUND(C35*0.4,0)</f>
        <v>-24046</v>
      </c>
      <c r="D87" s="313">
        <f>-ROUND(D35*0.4,0)</f>
        <v>-26369</v>
      </c>
      <c r="E87" s="313">
        <f>-ROUND(E35*0.45,0)</f>
        <v>-30864</v>
      </c>
      <c r="F87" s="313">
        <f>-ROUND(F35*0.45,0)</f>
        <v>-32820</v>
      </c>
      <c r="G87" s="314">
        <f>-ROUND(G35*0.45,0)</f>
        <v>-34875</v>
      </c>
    </row>
    <row r="88" spans="1:16" ht="13.5" thickBot="1" x14ac:dyDescent="0.25">
      <c r="A88" s="390" t="s">
        <v>350</v>
      </c>
      <c r="B88" s="416">
        <f t="shared" ref="B88:G88" si="27">B81+B85</f>
        <v>3490</v>
      </c>
      <c r="C88" s="417">
        <f t="shared" si="27"/>
        <v>-24046</v>
      </c>
      <c r="D88" s="418">
        <f t="shared" si="27"/>
        <v>-26369</v>
      </c>
      <c r="E88" s="419">
        <f t="shared" si="27"/>
        <v>-30864</v>
      </c>
      <c r="F88" s="419">
        <f t="shared" si="27"/>
        <v>-32820</v>
      </c>
      <c r="G88" s="420">
        <f t="shared" si="27"/>
        <v>-34875</v>
      </c>
    </row>
    <row r="89" spans="1:16" ht="7.5" customHeight="1" x14ac:dyDescent="0.2">
      <c r="A89" s="263"/>
    </row>
    <row r="90" spans="1:16" ht="18.75" thickBot="1" x14ac:dyDescent="0.3">
      <c r="A90" s="265" t="s">
        <v>351</v>
      </c>
    </row>
    <row r="91" spans="1:16" ht="13.5" thickBot="1" x14ac:dyDescent="0.25">
      <c r="A91" s="765" t="s">
        <v>155</v>
      </c>
      <c r="B91" s="766">
        <f>výchozí_rok+4</f>
        <v>2016</v>
      </c>
      <c r="C91" s="767">
        <f>B91+1</f>
        <v>2017</v>
      </c>
      <c r="D91" s="768">
        <f>C91+1</f>
        <v>2018</v>
      </c>
      <c r="E91" s="768">
        <f>D91+1</f>
        <v>2019</v>
      </c>
      <c r="F91" s="768">
        <f>E91+1</f>
        <v>2020</v>
      </c>
      <c r="G91" s="769">
        <f>F91+1</f>
        <v>2021</v>
      </c>
      <c r="I91" s="765"/>
      <c r="J91" s="766"/>
      <c r="K91" s="767"/>
      <c r="L91" s="768"/>
      <c r="M91" s="768"/>
      <c r="N91" s="768"/>
      <c r="O91" s="769"/>
    </row>
    <row r="92" spans="1:16" ht="13.5" thickBot="1" x14ac:dyDescent="0.25">
      <c r="A92" s="390" t="s">
        <v>92</v>
      </c>
      <c r="B92" s="416">
        <f t="shared" ref="B92:G92" si="28">B58+B62+B75+B88</f>
        <v>7757.9701742166963</v>
      </c>
      <c r="C92" s="417">
        <f t="shared" si="28"/>
        <v>4340.0732389360128</v>
      </c>
      <c r="D92" s="418">
        <f t="shared" si="28"/>
        <v>636.70492587520494</v>
      </c>
      <c r="E92" s="419">
        <f t="shared" si="28"/>
        <v>3443.5332715117256</v>
      </c>
      <c r="F92" s="419">
        <f t="shared" si="28"/>
        <v>-629.70828601271569</v>
      </c>
      <c r="G92" s="420">
        <f t="shared" si="28"/>
        <v>2257.2767489163889</v>
      </c>
      <c r="I92" s="390" t="str">
        <f>A92</f>
        <v>PENĚŽNÍ TOK CELKEM</v>
      </c>
      <c r="J92" s="416">
        <f t="shared" ref="J92:O92" si="29">J58+B62+B75+B88</f>
        <v>6611.3701742166904</v>
      </c>
      <c r="K92" s="417">
        <f t="shared" si="29"/>
        <v>-1479.5971481872766</v>
      </c>
      <c r="L92" s="418">
        <f t="shared" si="29"/>
        <v>-2345.715016256032</v>
      </c>
      <c r="M92" s="419">
        <f t="shared" si="29"/>
        <v>1053.5418900596669</v>
      </c>
      <c r="N92" s="419">
        <f t="shared" si="29"/>
        <v>-2488.4414629945131</v>
      </c>
      <c r="O92" s="420">
        <f t="shared" si="29"/>
        <v>789.70364273498853</v>
      </c>
    </row>
    <row r="93" spans="1:16" ht="13.5" thickBot="1" x14ac:dyDescent="0.25">
      <c r="A93" s="170" t="s">
        <v>93</v>
      </c>
      <c r="B93" s="328">
        <f t="shared" ref="B93:G93" si="30">B39+B92</f>
        <v>50815.544054882223</v>
      </c>
      <c r="C93" s="329">
        <f t="shared" si="30"/>
        <v>55155.617293818235</v>
      </c>
      <c r="D93" s="330">
        <f t="shared" si="30"/>
        <v>55792.322219693437</v>
      </c>
      <c r="E93" s="331">
        <f t="shared" si="30"/>
        <v>59235.855491205162</v>
      </c>
      <c r="F93" s="331">
        <f t="shared" si="30"/>
        <v>58606.14720519245</v>
      </c>
      <c r="G93" s="332">
        <f t="shared" si="30"/>
        <v>60863.423954108839</v>
      </c>
      <c r="I93" s="169" t="s">
        <v>883</v>
      </c>
      <c r="J93" s="328">
        <f t="shared" ref="J93:O93" si="31">J39+J92</f>
        <v>20702.444054882159</v>
      </c>
      <c r="K93" s="329">
        <f t="shared" si="31"/>
        <v>19222.846906694882</v>
      </c>
      <c r="L93" s="330">
        <f t="shared" si="31"/>
        <v>16877.13189043885</v>
      </c>
      <c r="M93" s="331">
        <f t="shared" si="31"/>
        <v>17930.673780498517</v>
      </c>
      <c r="N93" s="331">
        <f t="shared" si="31"/>
        <v>15442.232317504004</v>
      </c>
      <c r="O93" s="332">
        <f t="shared" si="31"/>
        <v>16231.935960238992</v>
      </c>
      <c r="P93" s="1410" t="s">
        <v>884</v>
      </c>
    </row>
    <row r="94" spans="1:16" ht="39.75" customHeight="1" x14ac:dyDescent="0.2">
      <c r="B94" s="327"/>
      <c r="C94" s="327"/>
      <c r="D94" s="327"/>
      <c r="E94" s="327"/>
      <c r="F94" s="327"/>
      <c r="G94" s="327"/>
      <c r="J94" s="327"/>
      <c r="K94" s="327"/>
      <c r="L94" s="327"/>
      <c r="M94" s="327"/>
      <c r="N94" s="327"/>
      <c r="O94" s="327"/>
    </row>
    <row r="95" spans="1:16" ht="21" thickBot="1" x14ac:dyDescent="0.35">
      <c r="A95" s="164" t="s">
        <v>366</v>
      </c>
      <c r="B95" s="327"/>
      <c r="C95" s="327"/>
      <c r="D95" s="327"/>
      <c r="E95" s="327"/>
      <c r="F95" s="327"/>
      <c r="G95" s="327"/>
      <c r="I95" s="164"/>
      <c r="J95" s="327"/>
      <c r="K95" s="327"/>
      <c r="L95" s="327"/>
      <c r="M95" s="327"/>
      <c r="N95" s="327"/>
      <c r="O95" s="327"/>
    </row>
    <row r="96" spans="1:16" ht="13.5" thickBot="1" x14ac:dyDescent="0.25">
      <c r="A96" s="765" t="s">
        <v>203</v>
      </c>
      <c r="B96" s="766">
        <f>výchozí_rok+4</f>
        <v>2016</v>
      </c>
      <c r="C96" s="767">
        <f>B96+1</f>
        <v>2017</v>
      </c>
      <c r="D96" s="768">
        <f>C96+1</f>
        <v>2018</v>
      </c>
      <c r="E96" s="768">
        <f>D96+1</f>
        <v>2019</v>
      </c>
      <c r="F96" s="768">
        <f>E96+1</f>
        <v>2020</v>
      </c>
      <c r="G96" s="769">
        <f>F96+1</f>
        <v>2021</v>
      </c>
    </row>
    <row r="97" spans="1:7" ht="13.5" thickBot="1" x14ac:dyDescent="0.25">
      <c r="A97" s="33" t="s">
        <v>0</v>
      </c>
      <c r="B97" s="336">
        <f t="shared" ref="B97:G97" si="32">B98+B109+B118</f>
        <v>730789.54405488225</v>
      </c>
      <c r="C97" s="337">
        <f t="shared" si="32"/>
        <v>805655.39683080453</v>
      </c>
      <c r="D97" s="338">
        <f t="shared" si="32"/>
        <v>865092.75167863502</v>
      </c>
      <c r="E97" s="338">
        <f t="shared" si="32"/>
        <v>918747.86642743461</v>
      </c>
      <c r="F97" s="338">
        <f t="shared" si="32"/>
        <v>971251.93256688572</v>
      </c>
      <c r="G97" s="339">
        <f t="shared" si="32"/>
        <v>1023659.777991433</v>
      </c>
    </row>
    <row r="98" spans="1:7" x14ac:dyDescent="0.2">
      <c r="A98" s="25" t="s">
        <v>309</v>
      </c>
      <c r="B98" s="340">
        <f t="shared" ref="B98:G98" si="33">B99+B100+B104</f>
        <v>460694</v>
      </c>
      <c r="C98" s="341">
        <f t="shared" si="33"/>
        <v>493990.8</v>
      </c>
      <c r="D98" s="342">
        <f t="shared" si="33"/>
        <v>526001.57333333336</v>
      </c>
      <c r="E98" s="342">
        <f t="shared" si="33"/>
        <v>547076.65333333332</v>
      </c>
      <c r="F98" s="342">
        <f t="shared" si="33"/>
        <v>586775.70666666678</v>
      </c>
      <c r="G98" s="343">
        <f t="shared" si="33"/>
        <v>626318.81666666677</v>
      </c>
    </row>
    <row r="99" spans="1:7" x14ac:dyDescent="0.2">
      <c r="A99" s="39" t="s">
        <v>4</v>
      </c>
      <c r="B99" s="344">
        <f>'7 Rozvaha'!G6</f>
        <v>2164</v>
      </c>
      <c r="C99" s="345">
        <f>'16 Generátory'!C160</f>
        <v>4535</v>
      </c>
      <c r="D99" s="346">
        <f>'16 Generátory'!D160</f>
        <v>6535</v>
      </c>
      <c r="E99" s="346">
        <f>'16 Generátory'!E160</f>
        <v>7535</v>
      </c>
      <c r="F99" s="346">
        <f>'16 Generátory'!F160</f>
        <v>9250.5</v>
      </c>
      <c r="G99" s="347">
        <f>'16 Generátory'!G160</f>
        <v>11243.25</v>
      </c>
    </row>
    <row r="100" spans="1:7" x14ac:dyDescent="0.2">
      <c r="A100" s="26" t="s">
        <v>6</v>
      </c>
      <c r="B100" s="322">
        <f t="shared" ref="B100:G100" si="34">SUM(B101:B103)</f>
        <v>450024</v>
      </c>
      <c r="C100" s="341">
        <f t="shared" si="34"/>
        <v>482549.8</v>
      </c>
      <c r="D100" s="342">
        <f t="shared" si="34"/>
        <v>514160.57333333336</v>
      </c>
      <c r="E100" s="342">
        <f t="shared" si="34"/>
        <v>538267.65333333332</v>
      </c>
      <c r="F100" s="342">
        <f t="shared" si="34"/>
        <v>576251.20666666678</v>
      </c>
      <c r="G100" s="343">
        <f t="shared" si="34"/>
        <v>613801.56666666677</v>
      </c>
    </row>
    <row r="101" spans="1:7" x14ac:dyDescent="0.2">
      <c r="A101" s="27" t="s">
        <v>7</v>
      </c>
      <c r="B101" s="311">
        <f>'7 Rozvaha'!G8</f>
        <v>14524</v>
      </c>
      <c r="C101" s="348">
        <f>'16 Generátory'!C180</f>
        <v>14524</v>
      </c>
      <c r="D101" s="349">
        <f>'16 Generátory'!D180</f>
        <v>14524</v>
      </c>
      <c r="E101" s="349">
        <f>'16 Generátory'!E180</f>
        <v>14524</v>
      </c>
      <c r="F101" s="349">
        <f>'16 Generátory'!F180</f>
        <v>14524</v>
      </c>
      <c r="G101" s="350">
        <f>'16 Generátory'!G180</f>
        <v>14524</v>
      </c>
    </row>
    <row r="102" spans="1:7" x14ac:dyDescent="0.2">
      <c r="A102" s="27" t="s">
        <v>9</v>
      </c>
      <c r="B102" s="311">
        <f>'7 Rozvaha'!G9</f>
        <v>351000</v>
      </c>
      <c r="C102" s="348">
        <f>'16 Generátory'!C169</f>
        <v>368525.8</v>
      </c>
      <c r="D102" s="349">
        <f>'16 Generátory'!D169</f>
        <v>384917.40666666668</v>
      </c>
      <c r="E102" s="349">
        <f>'16 Generátory'!E169</f>
        <v>400174.82</v>
      </c>
      <c r="F102" s="349">
        <f>'16 Generátory'!F169</f>
        <v>414298.04000000004</v>
      </c>
      <c r="G102" s="350">
        <f>'16 Generátory'!G169</f>
        <v>427287.06666666671</v>
      </c>
    </row>
    <row r="103" spans="1:7" x14ac:dyDescent="0.2">
      <c r="A103" s="42" t="s">
        <v>686</v>
      </c>
      <c r="B103" s="315">
        <f>'7 Rozvaha'!G10</f>
        <v>84500</v>
      </c>
      <c r="C103" s="351">
        <f>'16 Generátory'!C178</f>
        <v>99500</v>
      </c>
      <c r="D103" s="352">
        <f>'16 Generátory'!D178</f>
        <v>114719.16666666667</v>
      </c>
      <c r="E103" s="352">
        <f>'16 Generátory'!E178</f>
        <v>123568.83333333334</v>
      </c>
      <c r="F103" s="352">
        <f>'16 Generátory'!F178</f>
        <v>147429.16666666669</v>
      </c>
      <c r="G103" s="353">
        <f>'16 Generátory'!G178</f>
        <v>171990.50000000003</v>
      </c>
    </row>
    <row r="104" spans="1:7" x14ac:dyDescent="0.2">
      <c r="A104" s="26" t="s">
        <v>11</v>
      </c>
      <c r="B104" s="322">
        <f t="shared" ref="B104:G104" si="35">B105+B107+B108</f>
        <v>8506</v>
      </c>
      <c r="C104" s="341">
        <f t="shared" si="35"/>
        <v>6906</v>
      </c>
      <c r="D104" s="342">
        <f t="shared" si="35"/>
        <v>5306</v>
      </c>
      <c r="E104" s="342">
        <f t="shared" si="35"/>
        <v>1274</v>
      </c>
      <c r="F104" s="342">
        <f t="shared" si="35"/>
        <v>1274</v>
      </c>
      <c r="G104" s="343">
        <f t="shared" si="35"/>
        <v>1274</v>
      </c>
    </row>
    <row r="105" spans="1:7" x14ac:dyDescent="0.2">
      <c r="A105" s="27" t="s">
        <v>326</v>
      </c>
      <c r="B105" s="471">
        <v>0</v>
      </c>
      <c r="C105" s="472">
        <v>0</v>
      </c>
      <c r="D105" s="473">
        <v>0</v>
      </c>
      <c r="E105" s="473">
        <v>0</v>
      </c>
      <c r="F105" s="473">
        <v>0</v>
      </c>
      <c r="G105" s="474">
        <v>0</v>
      </c>
    </row>
    <row r="106" spans="1:7" x14ac:dyDescent="0.2">
      <c r="A106" s="259" t="s">
        <v>327</v>
      </c>
      <c r="B106" s="354"/>
      <c r="C106" s="355"/>
      <c r="D106" s="356"/>
      <c r="E106" s="356"/>
      <c r="F106" s="356"/>
      <c r="G106" s="357"/>
    </row>
    <row r="107" spans="1:7" x14ac:dyDescent="0.2">
      <c r="A107" s="259" t="s">
        <v>772</v>
      </c>
      <c r="B107" s="358">
        <f>'7 Rozvaha'!G12</f>
        <v>1274</v>
      </c>
      <c r="C107" s="359">
        <f>B107</f>
        <v>1274</v>
      </c>
      <c r="D107" s="360">
        <f>C107</f>
        <v>1274</v>
      </c>
      <c r="E107" s="360">
        <f>D107</f>
        <v>1274</v>
      </c>
      <c r="F107" s="360">
        <f>E107</f>
        <v>1274</v>
      </c>
      <c r="G107" s="361">
        <f>F107</f>
        <v>1274</v>
      </c>
    </row>
    <row r="108" spans="1:7" ht="13.5" thickBot="1" x14ac:dyDescent="0.25">
      <c r="A108" s="260" t="s">
        <v>927</v>
      </c>
      <c r="B108" s="362">
        <f>'7 Rozvaha'!G13</f>
        <v>7232</v>
      </c>
      <c r="C108" s="363">
        <f>B108-SUM('26 Pohledávka'!D7:D10)</f>
        <v>5632</v>
      </c>
      <c r="D108" s="364">
        <f>C108-SUM('26 Pohledávka'!D11:D14)</f>
        <v>4032</v>
      </c>
      <c r="E108" s="364">
        <f>D108-'26 Pohledávka'!D19</f>
        <v>0</v>
      </c>
      <c r="F108" s="364">
        <v>0</v>
      </c>
      <c r="G108" s="365">
        <v>0</v>
      </c>
    </row>
    <row r="109" spans="1:7" x14ac:dyDescent="0.2">
      <c r="A109" s="38" t="s">
        <v>15</v>
      </c>
      <c r="B109" s="366">
        <f t="shared" ref="B109:G109" si="36">B110+B113+B115</f>
        <v>256209.54405488222</v>
      </c>
      <c r="C109" s="367">
        <f t="shared" si="36"/>
        <v>297778.59683080454</v>
      </c>
      <c r="D109" s="368">
        <f t="shared" si="36"/>
        <v>325205.17834530165</v>
      </c>
      <c r="E109" s="368">
        <f t="shared" si="36"/>
        <v>357785.21309410135</v>
      </c>
      <c r="F109" s="368">
        <f t="shared" si="36"/>
        <v>370590.22590021894</v>
      </c>
      <c r="G109" s="369">
        <f t="shared" si="36"/>
        <v>383454.96132476628</v>
      </c>
    </row>
    <row r="110" spans="1:7" x14ac:dyDescent="0.2">
      <c r="A110" s="26" t="s">
        <v>17</v>
      </c>
      <c r="B110" s="322">
        <f t="shared" ref="B110:G110" si="37">B111+B112</f>
        <v>146268</v>
      </c>
      <c r="C110" s="341">
        <f t="shared" si="37"/>
        <v>168914.73258904109</v>
      </c>
      <c r="D110" s="342">
        <f t="shared" si="37"/>
        <v>189586.82468098353</v>
      </c>
      <c r="E110" s="342">
        <f t="shared" si="37"/>
        <v>214253.06839737255</v>
      </c>
      <c r="F110" s="342">
        <f t="shared" si="37"/>
        <v>223894.45647525432</v>
      </c>
      <c r="G110" s="343">
        <f t="shared" si="37"/>
        <v>231506.86799541296</v>
      </c>
    </row>
    <row r="111" spans="1:7" x14ac:dyDescent="0.2">
      <c r="A111" s="27" t="s">
        <v>19</v>
      </c>
      <c r="B111" s="311">
        <f>'7 Rozvaha'!G16</f>
        <v>1990</v>
      </c>
      <c r="C111" s="348">
        <f>'16 Generátory'!G59*'16 Generátory'!G$7/365</f>
        <v>3071.1769561643832</v>
      </c>
      <c r="D111" s="349">
        <f>'16 Generátory'!H59*'16 Generátory'!H$7/365</f>
        <v>3326.0846435260269</v>
      </c>
      <c r="E111" s="349">
        <f>'16 Generátory'!I59*'16 Generátory'!I$7/365</f>
        <v>3512.3453835634846</v>
      </c>
      <c r="F111" s="349">
        <f>'16 Generátory'!J59*'16 Generátory'!J$7/365</f>
        <v>3670.4009258238416</v>
      </c>
      <c r="G111" s="350">
        <f>'16 Generátory'!K59*'16 Generátory'!K$7/365</f>
        <v>3795.194557301852</v>
      </c>
    </row>
    <row r="112" spans="1:7" x14ac:dyDescent="0.2">
      <c r="A112" s="42" t="s">
        <v>20</v>
      </c>
      <c r="B112" s="315">
        <f>'7 Rozvaha'!G17</f>
        <v>144278</v>
      </c>
      <c r="C112" s="351">
        <f>'16 Generátory'!G60*'16 Generátory'!G$7/365</f>
        <v>165843.5556328767</v>
      </c>
      <c r="D112" s="352">
        <f>'16 Generátory'!H60*'16 Generátory'!H$7/365</f>
        <v>186260.74003745749</v>
      </c>
      <c r="E112" s="352">
        <f>'16 Generátory'!I60*'16 Generátory'!I$7/365</f>
        <v>210740.72301380907</v>
      </c>
      <c r="F112" s="352">
        <f>'16 Generátory'!J60*'16 Generátory'!J$7/365</f>
        <v>220224.05554943049</v>
      </c>
      <c r="G112" s="353">
        <f>'16 Generátory'!K60*'16 Generátory'!K$7/365</f>
        <v>227711.67343811112</v>
      </c>
    </row>
    <row r="113" spans="1:16" x14ac:dyDescent="0.2">
      <c r="A113" s="26" t="s">
        <v>23</v>
      </c>
      <c r="B113" s="322">
        <f t="shared" ref="B113:G113" si="38">SUM(B114:B114)</f>
        <v>59126</v>
      </c>
      <c r="C113" s="341">
        <f t="shared" si="38"/>
        <v>73708.246947945212</v>
      </c>
      <c r="D113" s="342">
        <f t="shared" si="38"/>
        <v>79826.031444624648</v>
      </c>
      <c r="E113" s="342">
        <f t="shared" si="38"/>
        <v>84296.28920552363</v>
      </c>
      <c r="F113" s="342">
        <f t="shared" si="38"/>
        <v>88089.622219772195</v>
      </c>
      <c r="G113" s="343">
        <f t="shared" si="38"/>
        <v>91084.669375244441</v>
      </c>
    </row>
    <row r="114" spans="1:16" x14ac:dyDescent="0.2">
      <c r="A114" s="42" t="s">
        <v>310</v>
      </c>
      <c r="B114" s="315">
        <f>'7 Rozvaha'!G21</f>
        <v>59126</v>
      </c>
      <c r="C114" s="351">
        <f>'16 Generátory'!G79</f>
        <v>73708.246947945212</v>
      </c>
      <c r="D114" s="352">
        <f>'16 Generátory'!H79</f>
        <v>79826.031444624648</v>
      </c>
      <c r="E114" s="352">
        <f>'16 Generátory'!I79</f>
        <v>84296.28920552363</v>
      </c>
      <c r="F114" s="352">
        <f>'16 Generátory'!J79</f>
        <v>88089.622219772195</v>
      </c>
      <c r="G114" s="353">
        <f>'16 Generátory'!K79</f>
        <v>91084.669375244441</v>
      </c>
      <c r="I114" s="244"/>
      <c r="J114" s="244"/>
      <c r="K114" s="244"/>
      <c r="L114" s="244"/>
      <c r="M114" s="244"/>
      <c r="N114" s="244"/>
      <c r="O114" s="244"/>
    </row>
    <row r="115" spans="1:16" x14ac:dyDescent="0.2">
      <c r="A115" s="26" t="s">
        <v>691</v>
      </c>
      <c r="B115" s="322">
        <f t="shared" ref="B115:G115" si="39">B93</f>
        <v>50815.544054882223</v>
      </c>
      <c r="C115" s="341">
        <f t="shared" si="39"/>
        <v>55155.617293818235</v>
      </c>
      <c r="D115" s="342">
        <f t="shared" si="39"/>
        <v>55792.322219693437</v>
      </c>
      <c r="E115" s="342">
        <f t="shared" si="39"/>
        <v>59235.855491205162</v>
      </c>
      <c r="F115" s="342">
        <f t="shared" si="39"/>
        <v>58606.14720519245</v>
      </c>
      <c r="G115" s="343">
        <f t="shared" si="39"/>
        <v>60863.423954108839</v>
      </c>
      <c r="I115" s="26" t="str">
        <f>A115</f>
        <v>Peněžní prostředky</v>
      </c>
      <c r="J115" s="322">
        <f t="shared" ref="J115:O115" si="40">J116+J117</f>
        <v>50815.544054882157</v>
      </c>
      <c r="K115" s="341">
        <f t="shared" si="40"/>
        <v>55155.617293818163</v>
      </c>
      <c r="L115" s="342">
        <f t="shared" si="40"/>
        <v>55792.322219693364</v>
      </c>
      <c r="M115" s="342">
        <f t="shared" si="40"/>
        <v>59235.855491205089</v>
      </c>
      <c r="N115" s="342">
        <f t="shared" si="40"/>
        <v>58606.147205192377</v>
      </c>
      <c r="O115" s="343">
        <f t="shared" si="40"/>
        <v>60863.423954108774</v>
      </c>
      <c r="P115" s="1410" t="s">
        <v>889</v>
      </c>
    </row>
    <row r="116" spans="1:16" x14ac:dyDescent="0.2">
      <c r="A116" s="27" t="s">
        <v>329</v>
      </c>
      <c r="B116" s="471">
        <f>'16 Generátory'!F80</f>
        <v>30113.1</v>
      </c>
      <c r="C116" s="472">
        <f>'16 Generátory'!G80</f>
        <v>35932.770387123281</v>
      </c>
      <c r="D116" s="473">
        <f>'16 Generátory'!H80</f>
        <v>38915.190329254518</v>
      </c>
      <c r="E116" s="473">
        <f>'16 Generátory'!I80</f>
        <v>41305.181710706573</v>
      </c>
      <c r="F116" s="473">
        <f>'16 Generátory'!J80</f>
        <v>43163.914887688377</v>
      </c>
      <c r="G116" s="474">
        <f>'16 Generátory'!K80</f>
        <v>44631.487993869778</v>
      </c>
      <c r="I116" s="27" t="str">
        <f>A116</f>
        <v>a) Provozně potřebné</v>
      </c>
      <c r="J116" s="471">
        <f>'16 Generátory'!F73</f>
        <v>30113.1</v>
      </c>
      <c r="K116" s="472">
        <f>'16 Generátory'!G73</f>
        <v>35932.770387123281</v>
      </c>
      <c r="L116" s="473">
        <f>'16 Generátory'!H73</f>
        <v>38915.190329254518</v>
      </c>
      <c r="M116" s="473">
        <f>'16 Generátory'!I73</f>
        <v>41305.181710706573</v>
      </c>
      <c r="N116" s="473">
        <f>'16 Generátory'!J73</f>
        <v>43163.914887688377</v>
      </c>
      <c r="O116" s="474">
        <f>'16 Generátory'!K73</f>
        <v>44631.487993869778</v>
      </c>
      <c r="P116" s="1410" t="s">
        <v>887</v>
      </c>
    </row>
    <row r="117" spans="1:16" ht="13.5" thickBot="1" x14ac:dyDescent="0.25">
      <c r="A117" s="259" t="s">
        <v>328</v>
      </c>
      <c r="B117" s="354">
        <f t="shared" ref="B117:G117" si="41">B115-B116</f>
        <v>20702.444054882224</v>
      </c>
      <c r="C117" s="355">
        <f t="shared" si="41"/>
        <v>19222.846906694955</v>
      </c>
      <c r="D117" s="356">
        <f t="shared" si="41"/>
        <v>16877.131890438919</v>
      </c>
      <c r="E117" s="356">
        <f t="shared" si="41"/>
        <v>17930.67378049859</v>
      </c>
      <c r="F117" s="356">
        <f t="shared" si="41"/>
        <v>15442.232317504073</v>
      </c>
      <c r="G117" s="357">
        <f t="shared" si="41"/>
        <v>16231.935960239061</v>
      </c>
      <c r="I117" s="260" t="str">
        <f>A117</f>
        <v>b) Provozně nepotřebné</v>
      </c>
      <c r="J117" s="1411">
        <f t="shared" ref="J117:O117" si="42">J93</f>
        <v>20702.444054882159</v>
      </c>
      <c r="K117" s="1412">
        <f t="shared" si="42"/>
        <v>19222.846906694882</v>
      </c>
      <c r="L117" s="1413">
        <f t="shared" si="42"/>
        <v>16877.13189043885</v>
      </c>
      <c r="M117" s="1413">
        <f t="shared" si="42"/>
        <v>17930.673780498517</v>
      </c>
      <c r="N117" s="1413">
        <f t="shared" si="42"/>
        <v>15442.232317504004</v>
      </c>
      <c r="O117" s="1414">
        <f t="shared" si="42"/>
        <v>16231.935960238992</v>
      </c>
      <c r="P117" s="1410" t="s">
        <v>888</v>
      </c>
    </row>
    <row r="118" spans="1:16" ht="13.5" thickBot="1" x14ac:dyDescent="0.25">
      <c r="A118" s="33" t="s">
        <v>692</v>
      </c>
      <c r="B118" s="370">
        <f>'7 Rozvaha'!G24</f>
        <v>13886</v>
      </c>
      <c r="C118" s="319">
        <f>'16 Generátory'!G81</f>
        <v>13886</v>
      </c>
      <c r="D118" s="320">
        <f>'16 Generátory'!H81</f>
        <v>13886</v>
      </c>
      <c r="E118" s="320">
        <f>'16 Generátory'!I81</f>
        <v>13886</v>
      </c>
      <c r="F118" s="320">
        <f>'16 Generátory'!J81</f>
        <v>13886</v>
      </c>
      <c r="G118" s="321">
        <f>'16 Generátory'!K81</f>
        <v>13886</v>
      </c>
    </row>
    <row r="119" spans="1:16" ht="13.5" thickBot="1" x14ac:dyDescent="0.25">
      <c r="A119" s="65"/>
      <c r="B119" s="371"/>
      <c r="C119" s="372"/>
      <c r="D119" s="372"/>
      <c r="E119" s="372"/>
      <c r="F119" s="372"/>
      <c r="G119" s="372"/>
      <c r="I119" s="65"/>
      <c r="J119" s="371"/>
      <c r="K119" s="372"/>
      <c r="L119" s="372"/>
      <c r="M119" s="372"/>
      <c r="N119" s="372"/>
      <c r="O119" s="372"/>
    </row>
    <row r="120" spans="1:16" ht="13.5" thickBot="1" x14ac:dyDescent="0.25">
      <c r="A120" s="765" t="s">
        <v>204</v>
      </c>
      <c r="B120" s="766">
        <f>výchozí_rok+4</f>
        <v>2016</v>
      </c>
      <c r="C120" s="767">
        <f>B120+1</f>
        <v>2017</v>
      </c>
      <c r="D120" s="768">
        <f>C120+1</f>
        <v>2018</v>
      </c>
      <c r="E120" s="768">
        <f>D120+1</f>
        <v>2019</v>
      </c>
      <c r="F120" s="768">
        <f>E120+1</f>
        <v>2020</v>
      </c>
      <c r="G120" s="769">
        <f>F120+1</f>
        <v>2021</v>
      </c>
    </row>
    <row r="121" spans="1:16" ht="13.5" thickBot="1" x14ac:dyDescent="0.25">
      <c r="A121" s="33" t="s">
        <v>27</v>
      </c>
      <c r="B121" s="326">
        <f t="shared" ref="B121:G121" si="43">B122+B128+B139</f>
        <v>730789.54405488214</v>
      </c>
      <c r="C121" s="337">
        <f t="shared" si="43"/>
        <v>805655.39683080453</v>
      </c>
      <c r="D121" s="373">
        <f t="shared" si="43"/>
        <v>865092.75167863478</v>
      </c>
      <c r="E121" s="338">
        <f t="shared" si="43"/>
        <v>918747.86642743461</v>
      </c>
      <c r="F121" s="338">
        <f t="shared" si="43"/>
        <v>971251.9325668856</v>
      </c>
      <c r="G121" s="339">
        <f t="shared" si="43"/>
        <v>1023659.7779914327</v>
      </c>
    </row>
    <row r="122" spans="1:16" x14ac:dyDescent="0.2">
      <c r="A122" s="38" t="s">
        <v>28</v>
      </c>
      <c r="B122" s="366">
        <f t="shared" ref="B122:G122" si="44">B123+B124+B125+B126+B127</f>
        <v>342903.54405488214</v>
      </c>
      <c r="C122" s="367">
        <f t="shared" si="44"/>
        <v>378971.59424998262</v>
      </c>
      <c r="D122" s="374">
        <f t="shared" si="44"/>
        <v>418526.14948360476</v>
      </c>
      <c r="E122" s="368">
        <f t="shared" si="44"/>
        <v>456247.98835605744</v>
      </c>
      <c r="F122" s="368">
        <f t="shared" si="44"/>
        <v>496360.49998229637</v>
      </c>
      <c r="G122" s="369">
        <f t="shared" si="44"/>
        <v>538984.52469896758</v>
      </c>
    </row>
    <row r="123" spans="1:16" x14ac:dyDescent="0.2">
      <c r="A123" s="1196" t="s">
        <v>30</v>
      </c>
      <c r="B123" s="1197">
        <f>'7 Rozvaha'!G28</f>
        <v>150000</v>
      </c>
      <c r="C123" s="1198">
        <f t="shared" ref="C123:G125" si="45">B123</f>
        <v>150000</v>
      </c>
      <c r="D123" s="1199">
        <f t="shared" si="45"/>
        <v>150000</v>
      </c>
      <c r="E123" s="1200">
        <f t="shared" si="45"/>
        <v>150000</v>
      </c>
      <c r="F123" s="1200">
        <f t="shared" si="45"/>
        <v>150000</v>
      </c>
      <c r="G123" s="1201">
        <f t="shared" si="45"/>
        <v>150000</v>
      </c>
    </row>
    <row r="124" spans="1:16" x14ac:dyDescent="0.2">
      <c r="A124" s="171" t="s">
        <v>693</v>
      </c>
      <c r="B124" s="1202">
        <f>'7 Rozvaha'!G29</f>
        <v>11610</v>
      </c>
      <c r="C124" s="1203">
        <f t="shared" si="45"/>
        <v>11610</v>
      </c>
      <c r="D124" s="1204">
        <f t="shared" si="45"/>
        <v>11610</v>
      </c>
      <c r="E124" s="1205">
        <f t="shared" si="45"/>
        <v>11610</v>
      </c>
      <c r="F124" s="1205">
        <f t="shared" si="45"/>
        <v>11610</v>
      </c>
      <c r="G124" s="1206">
        <f t="shared" si="45"/>
        <v>11610</v>
      </c>
    </row>
    <row r="125" spans="1:16" x14ac:dyDescent="0.2">
      <c r="A125" s="39" t="s">
        <v>33</v>
      </c>
      <c r="B125" s="375">
        <f>'7 Rozvaha'!G30</f>
        <v>30000</v>
      </c>
      <c r="C125" s="345">
        <f>B125</f>
        <v>30000</v>
      </c>
      <c r="D125" s="346">
        <f t="shared" si="45"/>
        <v>30000</v>
      </c>
      <c r="E125" s="346">
        <f t="shared" si="45"/>
        <v>30000</v>
      </c>
      <c r="F125" s="346">
        <f t="shared" si="45"/>
        <v>30000</v>
      </c>
      <c r="G125" s="346">
        <f t="shared" si="45"/>
        <v>30000</v>
      </c>
    </row>
    <row r="126" spans="1:16" x14ac:dyDescent="0.2">
      <c r="A126" s="26" t="s">
        <v>35</v>
      </c>
      <c r="B126" s="322">
        <f>'7 Rozvaha'!G31</f>
        <v>99325.573880665499</v>
      </c>
      <c r="C126" s="479">
        <f>B126+B127+C87</f>
        <v>127247.54405488219</v>
      </c>
      <c r="D126" s="480">
        <f>C126+C127+D87</f>
        <v>160992.59424998262</v>
      </c>
      <c r="E126" s="481">
        <f>D126+D127+E87</f>
        <v>196052.14948360476</v>
      </c>
      <c r="F126" s="481">
        <f>E126+E127+F87</f>
        <v>231817.98835605744</v>
      </c>
      <c r="G126" s="482">
        <f>F126+F127+G87</f>
        <v>269875.49998229637</v>
      </c>
    </row>
    <row r="127" spans="1:16" ht="13.5" thickBot="1" x14ac:dyDescent="0.25">
      <c r="A127" s="34" t="s">
        <v>315</v>
      </c>
      <c r="B127" s="379">
        <f t="shared" ref="B127:G127" si="46">B35</f>
        <v>51967.970174216694</v>
      </c>
      <c r="C127" s="380">
        <f t="shared" si="46"/>
        <v>60114.050195100441</v>
      </c>
      <c r="D127" s="381">
        <f t="shared" si="46"/>
        <v>65923.555233622159</v>
      </c>
      <c r="E127" s="382">
        <f t="shared" si="46"/>
        <v>68585.838872452689</v>
      </c>
      <c r="F127" s="382">
        <f t="shared" si="46"/>
        <v>72932.511626238949</v>
      </c>
      <c r="G127" s="383">
        <f t="shared" si="46"/>
        <v>77499.024716671236</v>
      </c>
    </row>
    <row r="128" spans="1:16" x14ac:dyDescent="0.2">
      <c r="A128" s="38" t="s">
        <v>37</v>
      </c>
      <c r="B128" s="366">
        <f t="shared" ref="B128:G128" si="47">B129+B130+B133</f>
        <v>375970</v>
      </c>
      <c r="C128" s="367">
        <f t="shared" si="47"/>
        <v>414767.80258082191</v>
      </c>
      <c r="D128" s="374">
        <f t="shared" si="47"/>
        <v>434650.60219503002</v>
      </c>
      <c r="E128" s="368">
        <f t="shared" si="47"/>
        <v>450583.87807137723</v>
      </c>
      <c r="F128" s="368">
        <f t="shared" si="47"/>
        <v>462975.43258458917</v>
      </c>
      <c r="G128" s="369">
        <f t="shared" si="47"/>
        <v>472759.25329246518</v>
      </c>
    </row>
    <row r="129" spans="1:7" x14ac:dyDescent="0.2">
      <c r="A129" s="39" t="s">
        <v>38</v>
      </c>
      <c r="B129" s="375">
        <f>'7 Rozvaha'!G34</f>
        <v>5070</v>
      </c>
      <c r="C129" s="475">
        <f>B129+C49</f>
        <v>5070</v>
      </c>
      <c r="D129" s="476">
        <f>C129+D49</f>
        <v>5070</v>
      </c>
      <c r="E129" s="477">
        <f>D129+E49</f>
        <v>5070</v>
      </c>
      <c r="F129" s="477">
        <f>E129+F49</f>
        <v>5070</v>
      </c>
      <c r="G129" s="478">
        <f>F129+G49</f>
        <v>5070</v>
      </c>
    </row>
    <row r="130" spans="1:7" x14ac:dyDescent="0.2">
      <c r="A130" s="26" t="s">
        <v>39</v>
      </c>
      <c r="B130" s="322">
        <f t="shared" ref="B130:G130" si="48">SUM(B131:B132)</f>
        <v>133652</v>
      </c>
      <c r="C130" s="341">
        <f t="shared" si="48"/>
        <v>133652</v>
      </c>
      <c r="D130" s="376">
        <f t="shared" si="48"/>
        <v>133652</v>
      </c>
      <c r="E130" s="342">
        <f t="shared" si="48"/>
        <v>133652</v>
      </c>
      <c r="F130" s="342">
        <f t="shared" si="48"/>
        <v>133652</v>
      </c>
      <c r="G130" s="343">
        <f t="shared" si="48"/>
        <v>133652</v>
      </c>
    </row>
    <row r="131" spans="1:7" x14ac:dyDescent="0.2">
      <c r="A131" s="27" t="s">
        <v>774</v>
      </c>
      <c r="B131" s="311">
        <f>'7 Rozvaha'!G37</f>
        <v>12770</v>
      </c>
      <c r="C131" s="348">
        <f>B131+C84</f>
        <v>12770</v>
      </c>
      <c r="D131" s="378">
        <f>C131+D84</f>
        <v>12770</v>
      </c>
      <c r="E131" s="349">
        <f>D131+E84</f>
        <v>12770</v>
      </c>
      <c r="F131" s="349">
        <f>E131+F84</f>
        <v>12770</v>
      </c>
      <c r="G131" s="350">
        <f>F131+G84</f>
        <v>12770</v>
      </c>
    </row>
    <row r="132" spans="1:7" x14ac:dyDescent="0.2">
      <c r="A132" s="42" t="s">
        <v>775</v>
      </c>
      <c r="B132" s="315">
        <f>'7 Rozvaha'!G38</f>
        <v>120882</v>
      </c>
      <c r="C132" s="351">
        <f>B132+C82</f>
        <v>120882</v>
      </c>
      <c r="D132" s="377">
        <f>C132+D82</f>
        <v>120882</v>
      </c>
      <c r="E132" s="352">
        <f>D132+E82</f>
        <v>120882</v>
      </c>
      <c r="F132" s="352">
        <f>E132+F82</f>
        <v>120882</v>
      </c>
      <c r="G132" s="353">
        <f>F132+G82</f>
        <v>120882</v>
      </c>
    </row>
    <row r="133" spans="1:7" x14ac:dyDescent="0.2">
      <c r="A133" s="26" t="s">
        <v>40</v>
      </c>
      <c r="B133" s="322">
        <f t="shared" ref="B133:G133" si="49">SUM(B134:B138)</f>
        <v>237248</v>
      </c>
      <c r="C133" s="341">
        <f t="shared" si="49"/>
        <v>276045.80258082191</v>
      </c>
      <c r="D133" s="376">
        <f t="shared" si="49"/>
        <v>295928.60219503002</v>
      </c>
      <c r="E133" s="342">
        <f t="shared" si="49"/>
        <v>311861.87807137723</v>
      </c>
      <c r="F133" s="342">
        <f t="shared" si="49"/>
        <v>324253.43258458917</v>
      </c>
      <c r="G133" s="343">
        <f t="shared" si="49"/>
        <v>334037.25329246518</v>
      </c>
    </row>
    <row r="134" spans="1:7" x14ac:dyDescent="0.2">
      <c r="A134" s="27" t="s">
        <v>776</v>
      </c>
      <c r="B134" s="311">
        <f>'7 Rozvaha'!G40</f>
        <v>36494</v>
      </c>
      <c r="C134" s="348">
        <f>B134+C83</f>
        <v>36494</v>
      </c>
      <c r="D134" s="378">
        <f>C134+D83</f>
        <v>36494</v>
      </c>
      <c r="E134" s="349">
        <f>D134+E83</f>
        <v>36494</v>
      </c>
      <c r="F134" s="349">
        <f>E134+F83</f>
        <v>36494</v>
      </c>
      <c r="G134" s="350">
        <f>F134+G83</f>
        <v>36494</v>
      </c>
    </row>
    <row r="135" spans="1:7" x14ac:dyDescent="0.2">
      <c r="A135" s="27" t="s">
        <v>313</v>
      </c>
      <c r="B135" s="311">
        <f>'7 Rozvaha'!G41</f>
        <v>145572</v>
      </c>
      <c r="C135" s="348">
        <f>'16 Generátory'!G65*'16 Generátory'!G$7/365</f>
        <v>171985.90954520548</v>
      </c>
      <c r="D135" s="378">
        <f>'16 Generátory'!H65*'16 Generátory'!H$7/365</f>
        <v>186260.74003745749</v>
      </c>
      <c r="E135" s="349">
        <f>'16 Generátory'!I65*'16 Generátory'!I$7/365</f>
        <v>196691.34147955515</v>
      </c>
      <c r="F135" s="349">
        <f>'16 Generátory'!J65*'16 Generátory'!J$7/365</f>
        <v>205542.45184613511</v>
      </c>
      <c r="G135" s="350">
        <f>'16 Generátory'!K65*'16 Generátory'!K$7/365</f>
        <v>212530.8952089037</v>
      </c>
    </row>
    <row r="136" spans="1:7" x14ac:dyDescent="0.2">
      <c r="A136" s="27" t="s">
        <v>41</v>
      </c>
      <c r="B136" s="311">
        <f>'7 Rozvaha'!G43</f>
        <v>45678</v>
      </c>
      <c r="C136" s="348">
        <f>'16 Generátory'!G66*'16 Generátory'!G$7/365</f>
        <v>55281.185210958902</v>
      </c>
      <c r="D136" s="378">
        <f>'16 Generátory'!H66*'16 Generátory'!H$7/365</f>
        <v>59869.523583468486</v>
      </c>
      <c r="E136" s="349">
        <f>'16 Generátory'!I66*'16 Generátory'!I$7/365</f>
        <v>63222.216904142726</v>
      </c>
      <c r="F136" s="349">
        <f>'16 Generátory'!J66*'16 Generátory'!J$7/365</f>
        <v>66067.216664829146</v>
      </c>
      <c r="G136" s="350">
        <f>'16 Generátory'!K66*'16 Generátory'!K$7/365</f>
        <v>68313.502031433338</v>
      </c>
    </row>
    <row r="137" spans="1:7" x14ac:dyDescent="0.2">
      <c r="A137" s="27" t="s">
        <v>316</v>
      </c>
      <c r="B137" s="311">
        <f>'7 Rozvaha'!G44</f>
        <v>3946</v>
      </c>
      <c r="C137" s="348">
        <f>'16 Generátory'!G67*'16 Generátory'!G$7/365</f>
        <v>4913.8831298630139</v>
      </c>
      <c r="D137" s="378">
        <f>'16 Generátory'!H67*'16 Generátory'!H$7/365</f>
        <v>5321.7354296416433</v>
      </c>
      <c r="E137" s="349">
        <f>'16 Generátory'!I67*'16 Generátory'!I$7/365</f>
        <v>6322.2216904142733</v>
      </c>
      <c r="F137" s="349">
        <f>'16 Generátory'!J67*'16 Generátory'!J$7/365</f>
        <v>6606.7216664829148</v>
      </c>
      <c r="G137" s="350">
        <f>'16 Generátory'!K67*'16 Generátory'!K$7/365</f>
        <v>6831.3502031433336</v>
      </c>
    </row>
    <row r="138" spans="1:7" ht="13.5" thickBot="1" x14ac:dyDescent="0.25">
      <c r="A138" s="27" t="s">
        <v>42</v>
      </c>
      <c r="B138" s="311">
        <f>'7 Rozvaha'!G45</f>
        <v>5558</v>
      </c>
      <c r="C138" s="348">
        <f>'16 Generátory'!G68*'16 Generátory'!G$7/365</f>
        <v>7370.8246947945199</v>
      </c>
      <c r="D138" s="378">
        <f>'16 Generátory'!H68*'16 Generátory'!H$7/365</f>
        <v>7982.6031444624641</v>
      </c>
      <c r="E138" s="349">
        <f>'16 Generátory'!I68*'16 Generátory'!I$7/365</f>
        <v>9132.0979972650603</v>
      </c>
      <c r="F138" s="349">
        <f>'16 Generátory'!J68*'16 Generátory'!J$7/365</f>
        <v>9543.0424071419875</v>
      </c>
      <c r="G138" s="350">
        <f>'16 Generátory'!K68*'16 Generátory'!K$7/365</f>
        <v>9867.5058489848161</v>
      </c>
    </row>
    <row r="139" spans="1:7" ht="13.5" thickBot="1" x14ac:dyDescent="0.25">
      <c r="A139" s="33" t="s">
        <v>705</v>
      </c>
      <c r="B139" s="389">
        <f>'7 Rozvaha'!G46</f>
        <v>11916</v>
      </c>
      <c r="C139" s="337">
        <f>'16 Generátory'!G83</f>
        <v>11916</v>
      </c>
      <c r="D139" s="373">
        <f>'16 Generátory'!H83</f>
        <v>11916</v>
      </c>
      <c r="E139" s="338">
        <f>'16 Generátory'!I83</f>
        <v>11916</v>
      </c>
      <c r="F139" s="338">
        <f>'16 Generátory'!J83</f>
        <v>11916</v>
      </c>
      <c r="G139" s="321">
        <f>'16 Generátory'!K83</f>
        <v>11916</v>
      </c>
    </row>
    <row r="140" spans="1:7" x14ac:dyDescent="0.2">
      <c r="B140" s="327"/>
      <c r="C140" s="327"/>
      <c r="D140" s="327"/>
      <c r="E140" s="327"/>
      <c r="F140" s="327"/>
      <c r="G140" s="327"/>
    </row>
    <row r="141" spans="1:7" ht="16.5" customHeight="1" x14ac:dyDescent="0.2">
      <c r="B141" s="327"/>
      <c r="C141" s="327"/>
      <c r="D141" s="327"/>
      <c r="E141" s="327"/>
      <c r="F141" s="327"/>
      <c r="G141" s="327"/>
    </row>
    <row r="142" spans="1:7" ht="21" thickBot="1" x14ac:dyDescent="0.35">
      <c r="A142" s="164" t="s">
        <v>199</v>
      </c>
      <c r="B142" s="327"/>
      <c r="C142" s="327"/>
      <c r="D142" s="327"/>
      <c r="E142" s="327"/>
      <c r="F142" s="327"/>
      <c r="G142" s="327"/>
    </row>
    <row r="143" spans="1:7" ht="13.5" thickBot="1" x14ac:dyDescent="0.25">
      <c r="A143" s="765" t="s">
        <v>363</v>
      </c>
      <c r="B143" s="766">
        <f t="shared" ref="B143:G143" si="50">B10</f>
        <v>2016</v>
      </c>
      <c r="C143" s="767">
        <f t="shared" si="50"/>
        <v>2017</v>
      </c>
      <c r="D143" s="768">
        <f t="shared" si="50"/>
        <v>2018</v>
      </c>
      <c r="E143" s="768">
        <f t="shared" si="50"/>
        <v>2019</v>
      </c>
      <c r="F143" s="768">
        <f t="shared" si="50"/>
        <v>2020</v>
      </c>
      <c r="G143" s="769">
        <f t="shared" si="50"/>
        <v>2021</v>
      </c>
    </row>
    <row r="144" spans="1:7" ht="13.5" thickBot="1" x14ac:dyDescent="0.25">
      <c r="A144" s="449" t="s">
        <v>362</v>
      </c>
      <c r="B144" s="384">
        <f t="shared" ref="B144:G144" si="51">B54+B62+B66</f>
        <v>82577.970174216694</v>
      </c>
      <c r="C144" s="385">
        <f t="shared" si="51"/>
        <v>107054.87323893601</v>
      </c>
      <c r="D144" s="386">
        <f t="shared" si="51"/>
        <v>110048.5049258752</v>
      </c>
      <c r="E144" s="387">
        <f t="shared" si="51"/>
        <v>111017.33327151173</v>
      </c>
      <c r="F144" s="387">
        <f t="shared" si="51"/>
        <v>128867.09171398729</v>
      </c>
      <c r="G144" s="388">
        <f t="shared" si="51"/>
        <v>133296.07674891638</v>
      </c>
    </row>
    <row r="146" spans="1:7" ht="13.5" thickBot="1" x14ac:dyDescent="0.25">
      <c r="A146" s="1" t="s">
        <v>129</v>
      </c>
      <c r="B146" s="327"/>
      <c r="C146" s="327"/>
      <c r="D146" s="327"/>
      <c r="E146" s="327"/>
      <c r="F146" s="327"/>
      <c r="G146" s="327"/>
    </row>
    <row r="147" spans="1:7" x14ac:dyDescent="0.2">
      <c r="A147" s="176" t="s">
        <v>130</v>
      </c>
      <c r="B147" s="453">
        <f t="shared" ref="B147:G147" si="52">B115/(B133)</f>
        <v>0.21418744965134467</v>
      </c>
      <c r="C147" s="454">
        <f t="shared" si="52"/>
        <v>0.19980603500634475</v>
      </c>
      <c r="D147" s="454">
        <f t="shared" si="52"/>
        <v>0.1885330508976075</v>
      </c>
      <c r="E147" s="454">
        <f t="shared" si="52"/>
        <v>0.18994259849114226</v>
      </c>
      <c r="F147" s="454">
        <f t="shared" si="52"/>
        <v>0.18074179427508036</v>
      </c>
      <c r="G147" s="455">
        <f t="shared" si="52"/>
        <v>0.18220549760304752</v>
      </c>
    </row>
    <row r="148" spans="1:7" x14ac:dyDescent="0.2">
      <c r="A148" s="172" t="s">
        <v>131</v>
      </c>
      <c r="B148" s="456">
        <f t="shared" ref="B148:G148" si="53">(B113+B115)/(B133)</f>
        <v>0.46340345990222143</v>
      </c>
      <c r="C148" s="457">
        <f t="shared" si="53"/>
        <v>0.46682058932605625</v>
      </c>
      <c r="D148" s="457">
        <f t="shared" si="53"/>
        <v>0.4582806550579373</v>
      </c>
      <c r="E148" s="457">
        <f t="shared" si="53"/>
        <v>0.46024267404648267</v>
      </c>
      <c r="F148" s="457">
        <f t="shared" si="53"/>
        <v>0.4524108449852588</v>
      </c>
      <c r="G148" s="458">
        <f t="shared" si="53"/>
        <v>0.45488367489453535</v>
      </c>
    </row>
    <row r="149" spans="1:7" ht="13.5" thickBot="1" x14ac:dyDescent="0.25">
      <c r="A149" s="75" t="s">
        <v>132</v>
      </c>
      <c r="B149" s="459">
        <f t="shared" ref="B149:G149" si="54">B109/(B$133)</f>
        <v>1.0799228826160061</v>
      </c>
      <c r="C149" s="460">
        <f t="shared" si="54"/>
        <v>1.0787289429753948</v>
      </c>
      <c r="D149" s="460">
        <f t="shared" si="54"/>
        <v>1.0989312149387205</v>
      </c>
      <c r="E149" s="460">
        <f t="shared" si="54"/>
        <v>1.147255366082973</v>
      </c>
      <c r="F149" s="460">
        <f t="shared" si="54"/>
        <v>1.1429030155402957</v>
      </c>
      <c r="G149" s="461">
        <f t="shared" si="54"/>
        <v>1.1479407088437337</v>
      </c>
    </row>
    <row r="150" spans="1:7" x14ac:dyDescent="0.2">
      <c r="B150" s="327"/>
      <c r="C150" s="327"/>
      <c r="D150" s="327"/>
      <c r="E150" s="327"/>
      <c r="F150" s="327"/>
      <c r="G150" s="327"/>
    </row>
    <row r="151" spans="1:7" ht="13.5" thickBot="1" x14ac:dyDescent="0.25">
      <c r="A151" s="1" t="s">
        <v>136</v>
      </c>
      <c r="B151" s="327"/>
      <c r="C151" s="327"/>
      <c r="D151" s="327"/>
      <c r="E151" s="327"/>
      <c r="F151" s="327"/>
      <c r="G151" s="327"/>
    </row>
    <row r="152" spans="1:7" x14ac:dyDescent="0.2">
      <c r="A152" s="176" t="s">
        <v>148</v>
      </c>
      <c r="B152" s="184">
        <f t="shared" ref="B152:G152" si="55">B122/B121</f>
        <v>0.46922338564429455</v>
      </c>
      <c r="C152" s="182">
        <f t="shared" si="55"/>
        <v>0.4703891958531376</v>
      </c>
      <c r="D152" s="177">
        <f t="shared" si="55"/>
        <v>0.48379338362446378</v>
      </c>
      <c r="E152" s="177">
        <f t="shared" si="55"/>
        <v>0.49659760313804574</v>
      </c>
      <c r="F152" s="177">
        <f t="shared" si="55"/>
        <v>0.51105226495712974</v>
      </c>
      <c r="G152" s="175">
        <f t="shared" si="55"/>
        <v>0.52652701247726319</v>
      </c>
    </row>
    <row r="153" spans="1:7" x14ac:dyDescent="0.2">
      <c r="A153" s="172" t="s">
        <v>138</v>
      </c>
      <c r="B153" s="441">
        <f t="shared" ref="B153:G153" si="56">(B33+B22)/B22</f>
        <v>7.0894065935272712</v>
      </c>
      <c r="C153" s="442">
        <f t="shared" si="56"/>
        <v>9.4848323191389063</v>
      </c>
      <c r="D153" s="443">
        <f t="shared" si="56"/>
        <v>10.304818261677628</v>
      </c>
      <c r="E153" s="443">
        <f t="shared" si="56"/>
        <v>10.680587822839305</v>
      </c>
      <c r="F153" s="443">
        <f t="shared" si="56"/>
        <v>11.294101458043546</v>
      </c>
      <c r="G153" s="444">
        <f t="shared" si="56"/>
        <v>11.93864458447938</v>
      </c>
    </row>
    <row r="154" spans="1:7" ht="13.5" thickBot="1" x14ac:dyDescent="0.25">
      <c r="A154" s="75" t="s">
        <v>205</v>
      </c>
      <c r="B154" s="445">
        <f t="shared" ref="B154:G154" si="57">(B128-B129)/B144</f>
        <v>4.4915126784722794</v>
      </c>
      <c r="C154" s="446">
        <f t="shared" si="57"/>
        <v>3.8269888159730616</v>
      </c>
      <c r="D154" s="447">
        <f t="shared" si="57"/>
        <v>3.9035569132391248</v>
      </c>
      <c r="E154" s="447">
        <f t="shared" si="57"/>
        <v>4.0130118869077629</v>
      </c>
      <c r="F154" s="447">
        <f t="shared" si="57"/>
        <v>3.5533154857012104</v>
      </c>
      <c r="G154" s="448">
        <f t="shared" si="57"/>
        <v>3.5086498020000216</v>
      </c>
    </row>
    <row r="155" spans="1:7" x14ac:dyDescent="0.2">
      <c r="B155" s="327"/>
      <c r="C155" s="327"/>
      <c r="D155" s="327"/>
      <c r="E155" s="327"/>
      <c r="F155" s="327"/>
      <c r="G155" s="327"/>
    </row>
    <row r="156" spans="1:7" ht="13.5" thickBot="1" x14ac:dyDescent="0.25">
      <c r="A156" s="1" t="s">
        <v>648</v>
      </c>
    </row>
    <row r="157" spans="1:7" x14ac:dyDescent="0.2">
      <c r="A157" s="176" t="s">
        <v>156</v>
      </c>
      <c r="B157" s="184">
        <f t="shared" ref="B157:G157" si="58">(B33+B22)/B121</f>
        <v>0.10220998436150835</v>
      </c>
      <c r="C157" s="182">
        <f t="shared" si="58"/>
        <v>0.10297410916679724</v>
      </c>
      <c r="D157" s="177">
        <f t="shared" si="58"/>
        <v>0.10418983981983126</v>
      </c>
      <c r="E157" s="177">
        <f t="shared" si="58"/>
        <v>0.10168257099136871</v>
      </c>
      <c r="F157" s="177">
        <f t="shared" si="58"/>
        <v>0.10171089961086749</v>
      </c>
      <c r="G157" s="175">
        <f t="shared" si="58"/>
        <v>0.10201102020153875</v>
      </c>
    </row>
    <row r="158" spans="1:7" x14ac:dyDescent="0.2">
      <c r="A158" s="138" t="s">
        <v>127</v>
      </c>
      <c r="B158" s="185">
        <f t="shared" ref="B158:G158" si="59">B35/B122</f>
        <v>0.15155273567513539</v>
      </c>
      <c r="C158" s="160">
        <f t="shared" si="59"/>
        <v>0.15862415839918376</v>
      </c>
      <c r="D158" s="180">
        <f t="shared" si="59"/>
        <v>0.15751358741851954</v>
      </c>
      <c r="E158" s="180">
        <f t="shared" si="59"/>
        <v>0.15032578909460984</v>
      </c>
      <c r="F158" s="180">
        <f t="shared" si="59"/>
        <v>0.14693455991933327</v>
      </c>
      <c r="G158" s="181">
        <f t="shared" si="59"/>
        <v>0.14378710550169471</v>
      </c>
    </row>
    <row r="159" spans="1:7" x14ac:dyDescent="0.2">
      <c r="A159" s="172" t="s">
        <v>128</v>
      </c>
      <c r="B159" s="186">
        <f t="shared" ref="B159:G159" si="60">B35/B11</f>
        <v>2.5289066819962597E-2</v>
      </c>
      <c r="C159" s="159">
        <f t="shared" si="60"/>
        <v>2.6813177860235082E-2</v>
      </c>
      <c r="D159" s="178">
        <f t="shared" si="60"/>
        <v>2.7150914581152357E-2</v>
      </c>
      <c r="E159" s="178">
        <f t="shared" si="60"/>
        <v>2.674942059358227E-2</v>
      </c>
      <c r="F159" s="178">
        <f t="shared" si="60"/>
        <v>2.7219792113175014E-2</v>
      </c>
      <c r="G159" s="173">
        <f t="shared" si="60"/>
        <v>2.7973018498571846E-2</v>
      </c>
    </row>
    <row r="160" spans="1:7" x14ac:dyDescent="0.2">
      <c r="A160" s="172" t="s">
        <v>144</v>
      </c>
      <c r="B160" s="186">
        <f t="shared" ref="B160:G160" si="61">B18/B11</f>
        <v>3.5018720577257537E-2</v>
      </c>
      <c r="C160" s="159">
        <f t="shared" si="61"/>
        <v>3.6862343380188081E-2</v>
      </c>
      <c r="D160" s="178">
        <f t="shared" si="61"/>
        <v>3.6982228855535031E-2</v>
      </c>
      <c r="E160" s="178">
        <f t="shared" si="61"/>
        <v>3.6301693915944504E-2</v>
      </c>
      <c r="F160" s="178">
        <f t="shared" si="61"/>
        <v>3.6734827791316302E-2</v>
      </c>
      <c r="G160" s="173">
        <f t="shared" si="61"/>
        <v>3.7562947862088629E-2</v>
      </c>
    </row>
    <row r="161" spans="1:7" ht="13.5" thickBot="1" x14ac:dyDescent="0.25">
      <c r="A161" s="75" t="s">
        <v>147</v>
      </c>
      <c r="B161" s="187">
        <f t="shared" ref="B161:G161" si="62">B144/B11</f>
        <v>4.0184748386203853E-2</v>
      </c>
      <c r="C161" s="183">
        <f t="shared" si="62"/>
        <v>4.7750589881140115E-2</v>
      </c>
      <c r="D161" s="179">
        <f t="shared" si="62"/>
        <v>4.5323974813513579E-2</v>
      </c>
      <c r="E161" s="179">
        <f t="shared" si="62"/>
        <v>4.3298287076143256E-2</v>
      </c>
      <c r="F161" s="179">
        <f t="shared" si="62"/>
        <v>4.8095634833755174E-2</v>
      </c>
      <c r="G161" s="174">
        <f t="shared" si="62"/>
        <v>4.8112781216489174E-2</v>
      </c>
    </row>
    <row r="162" spans="1:7" x14ac:dyDescent="0.2">
      <c r="B162" s="154"/>
      <c r="C162" s="154"/>
      <c r="D162" s="154"/>
      <c r="E162" s="154"/>
      <c r="F162" s="154"/>
      <c r="G162" s="154"/>
    </row>
    <row r="163" spans="1:7" ht="13.5" thickBot="1" x14ac:dyDescent="0.25">
      <c r="A163" s="1" t="s">
        <v>779</v>
      </c>
    </row>
    <row r="164" spans="1:7" x14ac:dyDescent="0.2">
      <c r="A164" s="176" t="s">
        <v>650</v>
      </c>
      <c r="B164" s="184">
        <f t="shared" ref="B164:G164" si="63">B18*(1-B7)/B11</f>
        <v>2.8365163667578609E-2</v>
      </c>
      <c r="C164" s="182">
        <f t="shared" si="63"/>
        <v>2.9858498137952345E-2</v>
      </c>
      <c r="D164" s="177">
        <f t="shared" si="63"/>
        <v>2.9955605372983373E-2</v>
      </c>
      <c r="E164" s="177">
        <f t="shared" si="63"/>
        <v>2.9404372071915052E-2</v>
      </c>
      <c r="F164" s="177">
        <f t="shared" si="63"/>
        <v>2.9755210510966204E-2</v>
      </c>
      <c r="G164" s="175">
        <f t="shared" si="63"/>
        <v>3.0425987768291789E-2</v>
      </c>
    </row>
    <row r="165" spans="1:7" ht="13.5" thickBot="1" x14ac:dyDescent="0.25">
      <c r="A165" s="75" t="s">
        <v>649</v>
      </c>
      <c r="B165" s="187">
        <f>B18*(1-B7)/'16 Generátory'!E199</f>
        <v>0.13301891248908895</v>
      </c>
      <c r="C165" s="183">
        <f>C18*(1-C7)/'16 Generátory'!F199</f>
        <v>0.13691964437231671</v>
      </c>
      <c r="D165" s="179">
        <f>D18*(1-D7)/'16 Generátory'!G199</f>
        <v>0.13773744313395234</v>
      </c>
      <c r="E165" s="179">
        <f>E18*(1-E7)/'16 Generátory'!H199</f>
        <v>0.13190792962193729</v>
      </c>
      <c r="F165" s="179">
        <f>F18*(1-F7)/'16 Generátory'!I199</f>
        <v>0.13021589253692048</v>
      </c>
      <c r="G165" s="174">
        <f>G18*(1-G7)/'16 Generátory'!J199</f>
        <v>0.12872205061559608</v>
      </c>
    </row>
    <row r="166" spans="1:7" x14ac:dyDescent="0.2">
      <c r="B166" s="154"/>
      <c r="C166" s="154"/>
      <c r="D166" s="154"/>
      <c r="E166" s="154"/>
      <c r="F166" s="154"/>
      <c r="G166" s="154"/>
    </row>
    <row r="167" spans="1:7" ht="13.5" thickBot="1" x14ac:dyDescent="0.25">
      <c r="A167" s="1" t="s">
        <v>133</v>
      </c>
      <c r="B167" s="327"/>
      <c r="C167" s="327"/>
      <c r="D167" s="327"/>
      <c r="E167" s="327"/>
      <c r="F167" s="327"/>
      <c r="G167" s="327"/>
    </row>
    <row r="168" spans="1:7" x14ac:dyDescent="0.2">
      <c r="A168" s="176" t="s">
        <v>367</v>
      </c>
      <c r="B168" s="450">
        <f t="shared" ref="B168:G168" si="64">B110/(B12/365)</f>
        <v>30.136457853523723</v>
      </c>
      <c r="C168" s="451">
        <f t="shared" si="64"/>
        <v>31.898851641340915</v>
      </c>
      <c r="D168" s="462">
        <f t="shared" si="64"/>
        <v>33.062645011600928</v>
      </c>
      <c r="E168" s="462">
        <f t="shared" si="64"/>
        <v>35.382830626450115</v>
      </c>
      <c r="F168" s="462">
        <f t="shared" si="64"/>
        <v>35.382830626450115</v>
      </c>
      <c r="G168" s="452">
        <f t="shared" si="64"/>
        <v>35.382830626450115</v>
      </c>
    </row>
    <row r="169" spans="1:7" x14ac:dyDescent="0.2">
      <c r="A169" s="172" t="s">
        <v>206</v>
      </c>
      <c r="B169" s="441">
        <f t="shared" ref="B169:G169" si="65">B113/(B11/365)</f>
        <v>10.5019129344736</v>
      </c>
      <c r="C169" s="442">
        <f t="shared" si="65"/>
        <v>12.000000000000002</v>
      </c>
      <c r="D169" s="443">
        <f t="shared" si="65"/>
        <v>12</v>
      </c>
      <c r="E169" s="443">
        <f t="shared" si="65"/>
        <v>12</v>
      </c>
      <c r="F169" s="443">
        <f t="shared" si="65"/>
        <v>12</v>
      </c>
      <c r="G169" s="444">
        <f t="shared" si="65"/>
        <v>11.999999999999998</v>
      </c>
    </row>
    <row r="170" spans="1:7" ht="13.5" thickBot="1" x14ac:dyDescent="0.25">
      <c r="A170" s="75" t="s">
        <v>207</v>
      </c>
      <c r="B170" s="445">
        <f t="shared" ref="B170:G170" si="66">B135/((B12+B13)/365)</f>
        <v>29.473998937169878</v>
      </c>
      <c r="C170" s="446">
        <f t="shared" si="66"/>
        <v>31.916106235039326</v>
      </c>
      <c r="D170" s="447">
        <f t="shared" si="66"/>
        <v>31.916106235039322</v>
      </c>
      <c r="E170" s="447">
        <f t="shared" si="66"/>
        <v>31.927023945267962</v>
      </c>
      <c r="F170" s="447">
        <f t="shared" si="66"/>
        <v>31.934306569343068</v>
      </c>
      <c r="G170" s="448">
        <f t="shared" si="66"/>
        <v>31.934306569343065</v>
      </c>
    </row>
    <row r="171" spans="1:7" x14ac:dyDescent="0.2">
      <c r="B171" s="327"/>
      <c r="C171" s="327"/>
      <c r="D171" s="327"/>
      <c r="E171" s="327"/>
      <c r="F171" s="327"/>
    </row>
    <row r="172" spans="1:7" x14ac:dyDescent="0.2">
      <c r="B172" s="1019"/>
      <c r="C172" s="1019"/>
      <c r="D172" s="1019"/>
      <c r="E172" s="1019"/>
      <c r="F172" s="1019"/>
    </row>
    <row r="173" spans="1:7" x14ac:dyDescent="0.2">
      <c r="B173" s="327"/>
      <c r="C173" s="327"/>
      <c r="D173" s="327"/>
      <c r="E173" s="327"/>
      <c r="F173" s="327"/>
    </row>
    <row r="174" spans="1:7" x14ac:dyDescent="0.2">
      <c r="B174" s="327"/>
      <c r="C174" s="327"/>
      <c r="D174" s="327"/>
      <c r="E174" s="327"/>
      <c r="F174" s="327"/>
    </row>
    <row r="175" spans="1:7" x14ac:dyDescent="0.2">
      <c r="B175" s="327"/>
      <c r="C175" s="327"/>
      <c r="D175" s="327"/>
      <c r="E175" s="327"/>
      <c r="F175" s="327"/>
    </row>
    <row r="176" spans="1:7" x14ac:dyDescent="0.2">
      <c r="B176" s="327"/>
      <c r="C176" s="327"/>
      <c r="D176" s="327"/>
      <c r="E176" s="327"/>
      <c r="F176" s="327"/>
    </row>
    <row r="177" spans="2:6" x14ac:dyDescent="0.2">
      <c r="B177" s="327"/>
      <c r="C177" s="327"/>
      <c r="D177" s="327"/>
      <c r="E177" s="327"/>
      <c r="F177" s="327"/>
    </row>
    <row r="178" spans="2:6" x14ac:dyDescent="0.2">
      <c r="B178" s="327"/>
      <c r="C178" s="327"/>
      <c r="D178" s="327"/>
      <c r="E178" s="327"/>
      <c r="F178" s="327"/>
    </row>
    <row r="179" spans="2:6" x14ac:dyDescent="0.2">
      <c r="B179" s="327"/>
      <c r="C179" s="327"/>
      <c r="D179" s="327"/>
      <c r="E179" s="327"/>
      <c r="F179" s="327"/>
    </row>
    <row r="180" spans="2:6" x14ac:dyDescent="0.2">
      <c r="B180" s="327"/>
      <c r="C180" s="327"/>
      <c r="D180" s="327"/>
      <c r="E180" s="327"/>
      <c r="F180" s="327"/>
    </row>
    <row r="181" spans="2:6" x14ac:dyDescent="0.2">
      <c r="B181" s="327"/>
      <c r="C181" s="327"/>
      <c r="D181" s="327"/>
      <c r="E181" s="327"/>
      <c r="F181" s="327"/>
    </row>
    <row r="182" spans="2:6" x14ac:dyDescent="0.2">
      <c r="B182" s="327"/>
      <c r="C182" s="327"/>
      <c r="D182" s="327"/>
      <c r="E182" s="327"/>
      <c r="F182" s="327"/>
    </row>
    <row r="183" spans="2:6" x14ac:dyDescent="0.2">
      <c r="B183" s="327"/>
      <c r="C183" s="327"/>
      <c r="D183" s="327"/>
      <c r="E183" s="327"/>
      <c r="F183" s="327"/>
    </row>
    <row r="184" spans="2:6" x14ac:dyDescent="0.2">
      <c r="B184" s="327"/>
      <c r="C184" s="327"/>
      <c r="D184" s="327"/>
      <c r="E184" s="327"/>
      <c r="F184" s="327"/>
    </row>
    <row r="185" spans="2:6" x14ac:dyDescent="0.2">
      <c r="B185" s="327"/>
      <c r="C185" s="327"/>
      <c r="D185" s="327"/>
      <c r="E185" s="327"/>
      <c r="F185" s="327"/>
    </row>
    <row r="186" spans="2:6" x14ac:dyDescent="0.2">
      <c r="B186" s="327"/>
      <c r="C186" s="327"/>
      <c r="D186" s="327"/>
      <c r="E186" s="327"/>
      <c r="F186" s="327"/>
    </row>
    <row r="187" spans="2:6" x14ac:dyDescent="0.2">
      <c r="B187" s="327"/>
      <c r="C187" s="327"/>
      <c r="D187" s="327"/>
      <c r="E187" s="327"/>
      <c r="F187" s="327"/>
    </row>
    <row r="188" spans="2:6" x14ac:dyDescent="0.2">
      <c r="B188" s="327"/>
      <c r="C188" s="327"/>
      <c r="D188" s="327"/>
      <c r="E188" s="327"/>
      <c r="F188" s="327"/>
    </row>
    <row r="189" spans="2:6" x14ac:dyDescent="0.2">
      <c r="B189" s="327"/>
      <c r="C189" s="327"/>
      <c r="D189" s="327"/>
      <c r="E189" s="327"/>
      <c r="F189" s="327"/>
    </row>
    <row r="190" spans="2:6" x14ac:dyDescent="0.2">
      <c r="B190" s="327"/>
      <c r="C190" s="327"/>
      <c r="D190" s="327"/>
      <c r="E190" s="327"/>
      <c r="F190" s="327"/>
    </row>
    <row r="191" spans="2:6" x14ac:dyDescent="0.2">
      <c r="B191" s="327"/>
      <c r="C191" s="327"/>
      <c r="D191" s="327"/>
      <c r="E191" s="327"/>
      <c r="F191" s="327"/>
    </row>
    <row r="192" spans="2:6" x14ac:dyDescent="0.2">
      <c r="B192" s="327"/>
      <c r="C192" s="327"/>
      <c r="D192" s="327"/>
      <c r="E192" s="327"/>
      <c r="F192" s="327"/>
    </row>
    <row r="193" spans="2:6" x14ac:dyDescent="0.2">
      <c r="B193" s="327"/>
      <c r="C193" s="327"/>
      <c r="D193" s="327"/>
      <c r="E193" s="327"/>
      <c r="F193" s="327"/>
    </row>
    <row r="194" spans="2:6" x14ac:dyDescent="0.2">
      <c r="B194" s="327"/>
      <c r="C194" s="327"/>
      <c r="D194" s="327"/>
      <c r="E194" s="327"/>
      <c r="F194" s="327"/>
    </row>
    <row r="195" spans="2:6" x14ac:dyDescent="0.2">
      <c r="B195" s="327"/>
      <c r="C195" s="327"/>
      <c r="D195" s="327"/>
      <c r="E195" s="327"/>
      <c r="F195" s="327"/>
    </row>
    <row r="196" spans="2:6" x14ac:dyDescent="0.2">
      <c r="B196" s="327"/>
      <c r="C196" s="327"/>
      <c r="D196" s="327"/>
      <c r="E196" s="327"/>
      <c r="F196" s="327"/>
    </row>
    <row r="197" spans="2:6" x14ac:dyDescent="0.2">
      <c r="B197" s="327"/>
      <c r="C197" s="327"/>
      <c r="D197" s="327"/>
      <c r="E197" s="327"/>
      <c r="F197" s="327"/>
    </row>
    <row r="198" spans="2:6" x14ac:dyDescent="0.2">
      <c r="B198" s="327"/>
      <c r="C198" s="327"/>
      <c r="D198" s="327"/>
      <c r="E198" s="327"/>
      <c r="F198" s="327"/>
    </row>
    <row r="199" spans="2:6" x14ac:dyDescent="0.2">
      <c r="B199" s="327"/>
      <c r="C199" s="327"/>
      <c r="D199" s="327"/>
      <c r="E199" s="327"/>
      <c r="F199" s="327"/>
    </row>
    <row r="200" spans="2:6" x14ac:dyDescent="0.2">
      <c r="B200" s="327"/>
      <c r="C200" s="327"/>
      <c r="D200" s="327"/>
      <c r="E200" s="327"/>
      <c r="F200" s="327"/>
    </row>
    <row r="201" spans="2:6" x14ac:dyDescent="0.2">
      <c r="B201" s="327"/>
      <c r="C201" s="327"/>
      <c r="D201" s="327"/>
      <c r="E201" s="327"/>
      <c r="F201" s="327"/>
    </row>
    <row r="202" spans="2:6" x14ac:dyDescent="0.2">
      <c r="B202" s="327"/>
      <c r="C202" s="327"/>
      <c r="D202" s="327"/>
      <c r="E202" s="327"/>
      <c r="F202" s="327"/>
    </row>
    <row r="203" spans="2:6" x14ac:dyDescent="0.2">
      <c r="B203" s="327"/>
      <c r="C203" s="327"/>
      <c r="D203" s="327"/>
      <c r="E203" s="327"/>
      <c r="F203" s="327"/>
    </row>
    <row r="204" spans="2:6" x14ac:dyDescent="0.2">
      <c r="B204" s="327"/>
      <c r="C204" s="327"/>
      <c r="D204" s="327"/>
      <c r="E204" s="327"/>
      <c r="F204" s="327"/>
    </row>
    <row r="205" spans="2:6" x14ac:dyDescent="0.2">
      <c r="B205" s="327"/>
      <c r="C205" s="327"/>
      <c r="D205" s="327"/>
      <c r="E205" s="327"/>
      <c r="F205" s="327"/>
    </row>
    <row r="206" spans="2:6" x14ac:dyDescent="0.2">
      <c r="B206" s="327"/>
      <c r="C206" s="327"/>
      <c r="D206" s="327"/>
      <c r="E206" s="327"/>
      <c r="F206" s="327"/>
    </row>
    <row r="207" spans="2:6" x14ac:dyDescent="0.2">
      <c r="B207" s="327"/>
      <c r="C207" s="327"/>
      <c r="D207" s="327"/>
      <c r="E207" s="327"/>
      <c r="F207" s="327"/>
    </row>
    <row r="208" spans="2:6" x14ac:dyDescent="0.2">
      <c r="B208" s="327"/>
      <c r="C208" s="327"/>
      <c r="D208" s="327"/>
      <c r="E208" s="327"/>
      <c r="F208" s="327"/>
    </row>
    <row r="209" spans="2:6" x14ac:dyDescent="0.2">
      <c r="B209" s="327"/>
      <c r="C209" s="327"/>
      <c r="D209" s="327"/>
      <c r="E209" s="327"/>
      <c r="F209" s="327"/>
    </row>
    <row r="210" spans="2:6" x14ac:dyDescent="0.2">
      <c r="B210" s="327"/>
      <c r="C210" s="327"/>
      <c r="D210" s="327"/>
      <c r="E210" s="327"/>
      <c r="F210" s="327"/>
    </row>
    <row r="211" spans="2:6" x14ac:dyDescent="0.2">
      <c r="B211" s="327"/>
      <c r="C211" s="327"/>
      <c r="D211" s="327"/>
      <c r="E211" s="327"/>
      <c r="F211" s="327"/>
    </row>
    <row r="212" spans="2:6" x14ac:dyDescent="0.2">
      <c r="B212" s="327"/>
      <c r="C212" s="327"/>
      <c r="D212" s="327"/>
      <c r="E212" s="327"/>
      <c r="F212" s="327"/>
    </row>
    <row r="213" spans="2:6" x14ac:dyDescent="0.2">
      <c r="B213" s="327"/>
      <c r="C213" s="327"/>
      <c r="D213" s="327"/>
      <c r="E213" s="327"/>
      <c r="F213" s="327"/>
    </row>
    <row r="214" spans="2:6" x14ac:dyDescent="0.2">
      <c r="B214" s="327"/>
      <c r="C214" s="327"/>
      <c r="D214" s="327"/>
      <c r="E214" s="327"/>
      <c r="F214" s="327"/>
    </row>
    <row r="215" spans="2:6" x14ac:dyDescent="0.2">
      <c r="B215" s="327"/>
      <c r="C215" s="327"/>
      <c r="D215" s="327"/>
      <c r="E215" s="327"/>
      <c r="F215" s="327"/>
    </row>
    <row r="216" spans="2:6" x14ac:dyDescent="0.2">
      <c r="B216" s="327"/>
      <c r="C216" s="327"/>
      <c r="D216" s="327"/>
      <c r="E216" s="327"/>
      <c r="F216" s="327"/>
    </row>
    <row r="217" spans="2:6" x14ac:dyDescent="0.2">
      <c r="B217" s="327"/>
      <c r="C217" s="327"/>
      <c r="D217" s="327"/>
      <c r="E217" s="327"/>
      <c r="F217" s="327"/>
    </row>
    <row r="218" spans="2:6" x14ac:dyDescent="0.2">
      <c r="B218" s="327"/>
      <c r="C218" s="327"/>
      <c r="D218" s="327"/>
      <c r="E218" s="327"/>
      <c r="F218" s="327"/>
    </row>
    <row r="219" spans="2:6" x14ac:dyDescent="0.2">
      <c r="B219" s="327"/>
      <c r="C219" s="327"/>
      <c r="D219" s="327"/>
      <c r="E219" s="327"/>
      <c r="F219" s="327"/>
    </row>
    <row r="220" spans="2:6" x14ac:dyDescent="0.2">
      <c r="B220" s="327"/>
      <c r="C220" s="327"/>
      <c r="D220" s="327"/>
      <c r="E220" s="327"/>
      <c r="F220" s="327"/>
    </row>
    <row r="221" spans="2:6" x14ac:dyDescent="0.2">
      <c r="B221" s="327"/>
      <c r="C221" s="327"/>
      <c r="D221" s="327"/>
      <c r="E221" s="327"/>
      <c r="F221" s="327"/>
    </row>
    <row r="222" spans="2:6" x14ac:dyDescent="0.2">
      <c r="B222" s="327"/>
      <c r="C222" s="327"/>
      <c r="D222" s="327"/>
      <c r="E222" s="327"/>
      <c r="F222" s="327"/>
    </row>
    <row r="223" spans="2:6" x14ac:dyDescent="0.2">
      <c r="B223" s="327"/>
      <c r="C223" s="327"/>
      <c r="D223" s="327"/>
      <c r="E223" s="327"/>
      <c r="F223" s="327"/>
    </row>
    <row r="224" spans="2:6" x14ac:dyDescent="0.2">
      <c r="B224" s="327"/>
      <c r="C224" s="327"/>
      <c r="D224" s="327"/>
      <c r="E224" s="327"/>
      <c r="F224" s="327"/>
    </row>
    <row r="225" spans="2:6" x14ac:dyDescent="0.2">
      <c r="B225" s="327"/>
      <c r="C225" s="327"/>
      <c r="D225" s="327"/>
      <c r="E225" s="327"/>
      <c r="F225" s="327"/>
    </row>
    <row r="226" spans="2:6" x14ac:dyDescent="0.2">
      <c r="B226" s="327"/>
      <c r="C226" s="327"/>
      <c r="D226" s="327"/>
      <c r="E226" s="327"/>
      <c r="F226" s="327"/>
    </row>
    <row r="227" spans="2:6" x14ac:dyDescent="0.2">
      <c r="B227" s="327"/>
      <c r="C227" s="327"/>
      <c r="D227" s="327"/>
      <c r="E227" s="327"/>
      <c r="F227" s="327"/>
    </row>
    <row r="228" spans="2:6" x14ac:dyDescent="0.2">
      <c r="B228" s="327"/>
      <c r="C228" s="327"/>
      <c r="D228" s="327"/>
      <c r="E228" s="327"/>
      <c r="F228" s="327"/>
    </row>
    <row r="229" spans="2:6" x14ac:dyDescent="0.2">
      <c r="B229" s="327"/>
      <c r="C229" s="327"/>
      <c r="D229" s="327"/>
      <c r="E229" s="327"/>
      <c r="F229" s="327"/>
    </row>
    <row r="230" spans="2:6" x14ac:dyDescent="0.2">
      <c r="B230" s="327"/>
      <c r="C230" s="327"/>
      <c r="D230" s="327"/>
      <c r="E230" s="327"/>
      <c r="F230" s="327"/>
    </row>
    <row r="231" spans="2:6" x14ac:dyDescent="0.2">
      <c r="B231" s="327"/>
      <c r="C231" s="327"/>
      <c r="D231" s="327"/>
      <c r="E231" s="327"/>
      <c r="F231" s="327"/>
    </row>
    <row r="232" spans="2:6" x14ac:dyDescent="0.2">
      <c r="B232" s="327"/>
      <c r="C232" s="327"/>
      <c r="D232" s="327"/>
      <c r="E232" s="327"/>
      <c r="F232" s="327"/>
    </row>
    <row r="233" spans="2:6" x14ac:dyDescent="0.2">
      <c r="B233" s="327"/>
      <c r="C233" s="327"/>
      <c r="D233" s="327"/>
      <c r="E233" s="327"/>
      <c r="F233" s="327"/>
    </row>
    <row r="234" spans="2:6" x14ac:dyDescent="0.2">
      <c r="B234" s="327"/>
      <c r="C234" s="327"/>
      <c r="D234" s="327"/>
      <c r="E234" s="327"/>
      <c r="F234" s="327"/>
    </row>
    <row r="235" spans="2:6" x14ac:dyDescent="0.2">
      <c r="B235" s="327"/>
      <c r="C235" s="327"/>
      <c r="D235" s="327"/>
      <c r="E235" s="327"/>
      <c r="F235" s="327"/>
    </row>
    <row r="236" spans="2:6" x14ac:dyDescent="0.2">
      <c r="B236" s="327"/>
      <c r="C236" s="327"/>
      <c r="D236" s="327"/>
      <c r="E236" s="327"/>
      <c r="F236" s="327"/>
    </row>
    <row r="237" spans="2:6" x14ac:dyDescent="0.2">
      <c r="B237" s="327"/>
      <c r="C237" s="327"/>
      <c r="D237" s="327"/>
      <c r="E237" s="327"/>
      <c r="F237" s="327"/>
    </row>
    <row r="238" spans="2:6" x14ac:dyDescent="0.2">
      <c r="B238" s="327"/>
      <c r="C238" s="327"/>
      <c r="D238" s="327"/>
      <c r="E238" s="327"/>
      <c r="F238" s="327"/>
    </row>
    <row r="239" spans="2:6" x14ac:dyDescent="0.2">
      <c r="B239" s="327"/>
      <c r="C239" s="327"/>
      <c r="D239" s="327"/>
      <c r="E239" s="327"/>
      <c r="F239" s="327"/>
    </row>
    <row r="240" spans="2:6" x14ac:dyDescent="0.2">
      <c r="B240" s="327"/>
      <c r="C240" s="327"/>
      <c r="D240" s="327"/>
      <c r="E240" s="327"/>
      <c r="F240" s="327"/>
    </row>
    <row r="241" spans="2:14" x14ac:dyDescent="0.2">
      <c r="B241" s="327"/>
      <c r="C241" s="327"/>
      <c r="D241" s="327"/>
      <c r="E241" s="327"/>
      <c r="F241" s="327"/>
    </row>
    <row r="242" spans="2:14" x14ac:dyDescent="0.2">
      <c r="B242" s="327"/>
      <c r="C242" s="327"/>
      <c r="D242" s="327"/>
      <c r="E242" s="327"/>
      <c r="F242" s="327"/>
    </row>
    <row r="243" spans="2:14" x14ac:dyDescent="0.2">
      <c r="B243" s="327"/>
      <c r="C243" s="327"/>
      <c r="D243" s="327"/>
      <c r="E243" s="327"/>
      <c r="F243" s="327"/>
    </row>
    <row r="244" spans="2:14" x14ac:dyDescent="0.2">
      <c r="B244" s="327"/>
      <c r="C244" s="327"/>
      <c r="D244" s="327"/>
      <c r="E244" s="327"/>
      <c r="F244" s="327"/>
    </row>
    <row r="245" spans="2:14" x14ac:dyDescent="0.2">
      <c r="B245" s="327"/>
      <c r="C245" s="327"/>
      <c r="D245" s="327"/>
      <c r="E245" s="327"/>
      <c r="F245" s="327"/>
    </row>
    <row r="246" spans="2:14" x14ac:dyDescent="0.2">
      <c r="B246" s="327"/>
      <c r="C246" s="327"/>
      <c r="D246" s="327"/>
      <c r="E246" s="327"/>
      <c r="F246" s="327"/>
    </row>
    <row r="247" spans="2:14" x14ac:dyDescent="0.2">
      <c r="B247" s="327"/>
      <c r="C247" s="327"/>
      <c r="D247" s="327"/>
      <c r="E247" s="327"/>
      <c r="F247" s="327"/>
    </row>
    <row r="248" spans="2:14" x14ac:dyDescent="0.2">
      <c r="B248" s="327"/>
      <c r="C248" s="327"/>
      <c r="D248" s="327"/>
      <c r="E248" s="327"/>
      <c r="F248" s="327"/>
    </row>
    <row r="249" spans="2:14" x14ac:dyDescent="0.2">
      <c r="B249" s="327"/>
      <c r="C249" s="327"/>
      <c r="D249" s="327"/>
      <c r="E249" s="327"/>
      <c r="F249" s="327"/>
      <c r="J249" s="327"/>
      <c r="K249" s="327"/>
      <c r="L249" s="327"/>
      <c r="M249" s="327"/>
      <c r="N249" s="327"/>
    </row>
    <row r="250" spans="2:14" x14ac:dyDescent="0.2">
      <c r="B250" s="327"/>
      <c r="C250" s="327"/>
      <c r="D250" s="327"/>
      <c r="E250" s="327"/>
      <c r="F250" s="327"/>
      <c r="J250" s="327"/>
      <c r="K250" s="327"/>
      <c r="L250" s="327"/>
      <c r="M250" s="327"/>
      <c r="N250" s="327"/>
    </row>
    <row r="251" spans="2:14" x14ac:dyDescent="0.2">
      <c r="B251" s="327"/>
      <c r="C251" s="327"/>
      <c r="D251" s="327"/>
      <c r="E251" s="327"/>
      <c r="F251" s="327"/>
      <c r="J251" s="327"/>
      <c r="K251" s="327"/>
      <c r="L251" s="327"/>
      <c r="M251" s="327"/>
      <c r="N251" s="327"/>
    </row>
    <row r="252" spans="2:14" x14ac:dyDescent="0.2">
      <c r="B252" s="327"/>
      <c r="C252" s="327"/>
      <c r="D252" s="327"/>
      <c r="E252" s="327"/>
      <c r="F252" s="327"/>
      <c r="J252" s="327"/>
      <c r="K252" s="327"/>
      <c r="L252" s="327"/>
      <c r="M252" s="327"/>
      <c r="N252" s="327"/>
    </row>
    <row r="253" spans="2:14" x14ac:dyDescent="0.2">
      <c r="B253" s="327"/>
      <c r="C253" s="327"/>
      <c r="D253" s="327"/>
      <c r="E253" s="327"/>
      <c r="F253" s="327"/>
      <c r="J253" s="327"/>
      <c r="K253" s="327"/>
      <c r="L253" s="327"/>
      <c r="M253" s="327"/>
      <c r="N253" s="327"/>
    </row>
    <row r="254" spans="2:14" x14ac:dyDescent="0.2">
      <c r="B254" s="327"/>
      <c r="C254" s="327"/>
      <c r="D254" s="327"/>
      <c r="E254" s="327"/>
      <c r="F254" s="327"/>
      <c r="J254" s="327"/>
      <c r="K254" s="327"/>
      <c r="L254" s="327"/>
      <c r="M254" s="327"/>
      <c r="N254" s="327"/>
    </row>
    <row r="255" spans="2:14" x14ac:dyDescent="0.2">
      <c r="B255" s="327"/>
      <c r="C255" s="327"/>
      <c r="D255" s="327"/>
      <c r="E255" s="327"/>
      <c r="F255" s="327"/>
      <c r="J255" s="327"/>
      <c r="K255" s="327"/>
      <c r="L255" s="327"/>
      <c r="M255" s="327"/>
      <c r="N255" s="327"/>
    </row>
    <row r="256" spans="2:14" x14ac:dyDescent="0.2">
      <c r="B256" s="327"/>
      <c r="C256" s="327"/>
      <c r="D256" s="327"/>
      <c r="E256" s="327"/>
      <c r="F256" s="327"/>
      <c r="J256" s="327"/>
      <c r="K256" s="327"/>
      <c r="L256" s="327"/>
      <c r="M256" s="327"/>
      <c r="N256" s="327"/>
    </row>
    <row r="257" spans="2:14" x14ac:dyDescent="0.2">
      <c r="B257" s="327"/>
      <c r="C257" s="327"/>
      <c r="D257" s="327"/>
      <c r="E257" s="327"/>
      <c r="F257" s="327"/>
      <c r="J257" s="327"/>
      <c r="K257" s="327"/>
      <c r="L257" s="327"/>
      <c r="M257" s="327"/>
      <c r="N257" s="327"/>
    </row>
    <row r="258" spans="2:14" x14ac:dyDescent="0.2">
      <c r="B258" s="327"/>
      <c r="C258" s="327"/>
      <c r="D258" s="327"/>
      <c r="E258" s="327"/>
      <c r="F258" s="327"/>
      <c r="J258" s="327"/>
      <c r="K258" s="327"/>
      <c r="L258" s="327"/>
      <c r="M258" s="327"/>
      <c r="N258" s="327"/>
    </row>
    <row r="259" spans="2:14" x14ac:dyDescent="0.2">
      <c r="B259" s="327"/>
      <c r="C259" s="327"/>
      <c r="D259" s="327"/>
      <c r="E259" s="327"/>
      <c r="F259" s="327"/>
      <c r="J259" s="327"/>
      <c r="K259" s="327"/>
      <c r="L259" s="327"/>
      <c r="M259" s="327"/>
      <c r="N259" s="327"/>
    </row>
    <row r="260" spans="2:14" x14ac:dyDescent="0.2">
      <c r="B260" s="327"/>
      <c r="C260" s="327"/>
      <c r="D260" s="327"/>
      <c r="E260" s="327"/>
      <c r="F260" s="327"/>
      <c r="J260" s="327"/>
      <c r="K260" s="327"/>
      <c r="L260" s="327"/>
      <c r="M260" s="327"/>
      <c r="N260" s="327"/>
    </row>
    <row r="261" spans="2:14" x14ac:dyDescent="0.2">
      <c r="B261" s="327"/>
      <c r="C261" s="327"/>
      <c r="D261" s="327"/>
      <c r="E261" s="327"/>
      <c r="F261" s="327"/>
      <c r="J261" s="327"/>
      <c r="K261" s="327"/>
      <c r="L261" s="327"/>
      <c r="M261" s="327"/>
      <c r="N261" s="327"/>
    </row>
    <row r="262" spans="2:14" x14ac:dyDescent="0.2">
      <c r="B262" s="327"/>
      <c r="C262" s="327"/>
      <c r="D262" s="327"/>
      <c r="E262" s="327"/>
      <c r="F262" s="327"/>
      <c r="J262" s="327"/>
      <c r="K262" s="327"/>
      <c r="L262" s="327"/>
      <c r="M262" s="327"/>
      <c r="N262" s="327"/>
    </row>
    <row r="263" spans="2:14" x14ac:dyDescent="0.2">
      <c r="B263" s="327"/>
      <c r="C263" s="327"/>
      <c r="D263" s="327"/>
      <c r="E263" s="327"/>
      <c r="F263" s="327"/>
      <c r="J263" s="327"/>
      <c r="K263" s="327"/>
      <c r="L263" s="327"/>
      <c r="M263" s="327"/>
      <c r="N263" s="327"/>
    </row>
    <row r="264" spans="2:14" x14ac:dyDescent="0.2">
      <c r="B264" s="327"/>
      <c r="C264" s="327"/>
      <c r="D264" s="327"/>
      <c r="E264" s="327"/>
      <c r="F264" s="327"/>
      <c r="J264" s="327"/>
      <c r="K264" s="327"/>
      <c r="L264" s="327"/>
      <c r="M264" s="327"/>
      <c r="N264" s="327"/>
    </row>
    <row r="265" spans="2:14" x14ac:dyDescent="0.2">
      <c r="B265" s="327"/>
      <c r="C265" s="327"/>
      <c r="D265" s="327"/>
      <c r="E265" s="327"/>
      <c r="F265" s="327"/>
      <c r="J265" s="327"/>
      <c r="K265" s="327"/>
      <c r="L265" s="327"/>
      <c r="M265" s="327"/>
      <c r="N265" s="327"/>
    </row>
    <row r="266" spans="2:14" x14ac:dyDescent="0.2">
      <c r="B266" s="327"/>
      <c r="C266" s="327"/>
      <c r="D266" s="327"/>
      <c r="E266" s="327"/>
      <c r="F266" s="327"/>
      <c r="J266" s="327"/>
      <c r="K266" s="327"/>
      <c r="L266" s="327"/>
      <c r="M266" s="327"/>
      <c r="N266" s="327"/>
    </row>
    <row r="267" spans="2:14" x14ac:dyDescent="0.2">
      <c r="B267" s="327"/>
      <c r="C267" s="327"/>
      <c r="D267" s="327"/>
      <c r="E267" s="327"/>
      <c r="F267" s="327"/>
      <c r="J267" s="327"/>
      <c r="K267" s="327"/>
      <c r="L267" s="327"/>
      <c r="M267" s="327"/>
      <c r="N267" s="327"/>
    </row>
  </sheetData>
  <phoneticPr fontId="0" type="noConversion"/>
  <hyperlinks>
    <hyperlink ref="G1" location="Obsah!A1" display="Skok na obsah" xr:uid="{00000000-0004-0000-1200-000000000000}"/>
  </hyperlinks>
  <pageMargins left="0.39370078740157483" right="0.39370078740157483" top="0.78740157480314965" bottom="0.59055118110236227" header="0.51181102362204722" footer="0.51181102362204722"/>
  <pageSetup paperSize="9" scale="90" orientation="portrait" r:id="rId1"/>
  <headerFooter alignWithMargins="0">
    <oddHeader>&amp;LMařík, M. a kol.: Metody oceňování podniku - 1. díl, Ekopress 2024&amp;RPříklad UNIPO, a.s.</oddHeader>
    <oddFooter>&amp;C&amp;A&amp;R&amp;"Arial CE,kurzíva"© M. Mařík, P. Maříková</oddFooter>
  </headerFooter>
  <rowBreaks count="3" manualBreakCount="3">
    <brk id="36" max="16383" man="1"/>
    <brk id="94" max="16383" man="1"/>
    <brk id="141" max="16383" man="1"/>
  </rowBreaks>
  <ignoredErrors>
    <ignoredError sqref="B144 B87:D87 B101:B125 C101:D107 C109:D117 C135:D138 B11:B12 C11:F16 C34:C35 B14:B16 B17:F17 B28 D30:F32 C30:C32 B19:F26 B27 B30:B32 B35 D34:F35 B134:B138 B126:B127 C126:D127 B139 B131 B132 B129 C129:D129 C119:D124" unlockedFormula="1"/>
    <ignoredError sqref="B13" formula="1" unlockedFormula="1"/>
    <ignoredError sqref="C108:D108" formulaRange="1" unlockedFormula="1"/>
    <ignoredError sqref="C27:F27" evalError="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workbookViewId="0"/>
  </sheetViews>
  <sheetFormatPr defaultRowHeight="12.75" x14ac:dyDescent="0.2"/>
  <cols>
    <col min="1" max="1" width="32.140625" customWidth="1"/>
    <col min="2" max="2" width="11.7109375" customWidth="1"/>
    <col min="10" max="10" width="1" customWidth="1"/>
  </cols>
  <sheetData>
    <row r="1" spans="1:9" s="487" customFormat="1" ht="21" customHeight="1" x14ac:dyDescent="0.2">
      <c r="A1" s="486" t="s">
        <v>433</v>
      </c>
      <c r="I1" s="926" t="s">
        <v>557</v>
      </c>
    </row>
    <row r="2" spans="1:9" s="487" customFormat="1" ht="21" customHeight="1" x14ac:dyDescent="0.2">
      <c r="A2" s="488" t="s">
        <v>434</v>
      </c>
    </row>
    <row r="3" spans="1:9" x14ac:dyDescent="0.2">
      <c r="A3" s="968" t="s">
        <v>592</v>
      </c>
      <c r="B3" s="969" t="s">
        <v>593</v>
      </c>
      <c r="C3" s="969" t="s">
        <v>592</v>
      </c>
    </row>
    <row r="4" spans="1:9" ht="38.25" x14ac:dyDescent="0.2">
      <c r="A4" s="970" t="s">
        <v>96</v>
      </c>
      <c r="B4" s="971" t="s">
        <v>790</v>
      </c>
      <c r="C4" s="971" t="s">
        <v>799</v>
      </c>
    </row>
    <row r="5" spans="1:9" x14ac:dyDescent="0.2">
      <c r="A5" s="966">
        <f>'4 Vnější potenciál'!A4</f>
        <v>1995</v>
      </c>
      <c r="B5" s="1228">
        <f>'4 Vnější potenciál'!H4</f>
        <v>205.220527535</v>
      </c>
      <c r="C5" s="1230">
        <v>1</v>
      </c>
    </row>
    <row r="6" spans="1:9" x14ac:dyDescent="0.2">
      <c r="A6" s="966">
        <f>'4 Vnější potenciál'!A5</f>
        <v>1996</v>
      </c>
      <c r="B6" s="1228">
        <f>'4 Vnější potenciál'!H5</f>
        <v>232.79688650400001</v>
      </c>
      <c r="C6" s="1230">
        <v>2</v>
      </c>
    </row>
    <row r="7" spans="1:9" x14ac:dyDescent="0.2">
      <c r="A7" s="966">
        <f>'4 Vnější potenciál'!A6</f>
        <v>1997</v>
      </c>
      <c r="B7" s="1228">
        <f>'4 Vnější potenciál'!H6</f>
        <v>250.01787313</v>
      </c>
      <c r="C7" s="1230">
        <v>3</v>
      </c>
    </row>
    <row r="8" spans="1:9" x14ac:dyDescent="0.2">
      <c r="A8" s="966">
        <f>'4 Vnější potenciál'!A7</f>
        <v>1998</v>
      </c>
      <c r="B8" s="1228">
        <f>'4 Vnější potenciál'!H7</f>
        <v>265.66100411500003</v>
      </c>
      <c r="C8" s="1230">
        <v>4</v>
      </c>
    </row>
    <row r="9" spans="1:9" x14ac:dyDescent="0.2">
      <c r="A9" s="966">
        <f>'4 Vnější potenciál'!A8</f>
        <v>1999</v>
      </c>
      <c r="B9" s="1228">
        <f>'4 Vnější potenciál'!H8</f>
        <v>262.15957808000002</v>
      </c>
      <c r="C9" s="1230">
        <v>5</v>
      </c>
    </row>
    <row r="10" spans="1:9" x14ac:dyDescent="0.2">
      <c r="A10" s="966">
        <f>'4 Vnější potenciál'!A9</f>
        <v>2000</v>
      </c>
      <c r="B10" s="1228">
        <f>'4 Vnější potenciál'!H9</f>
        <v>265.36956999900002</v>
      </c>
      <c r="C10" s="1230">
        <v>6</v>
      </c>
    </row>
    <row r="11" spans="1:9" x14ac:dyDescent="0.2">
      <c r="A11" s="966">
        <f>'4 Vnější potenciál'!A10</f>
        <v>2001</v>
      </c>
      <c r="B11" s="1228">
        <f>'4 Vnější potenciál'!H10</f>
        <v>277.93443532800001</v>
      </c>
      <c r="C11" s="1230">
        <v>7</v>
      </c>
    </row>
    <row r="12" spans="1:9" x14ac:dyDescent="0.2">
      <c r="A12" s="966">
        <f>'4 Vnější potenciál'!A11</f>
        <v>2002</v>
      </c>
      <c r="B12" s="1228">
        <f>'4 Vnější potenciál'!H11</f>
        <v>280.52128499999998</v>
      </c>
      <c r="C12" s="1230">
        <v>8</v>
      </c>
    </row>
    <row r="13" spans="1:9" x14ac:dyDescent="0.2">
      <c r="A13" s="966">
        <f>'4 Vnější potenciál'!A12</f>
        <v>2003</v>
      </c>
      <c r="B13" s="1228">
        <f>'4 Vnější potenciál'!H12</f>
        <v>285.901269275</v>
      </c>
      <c r="C13" s="1230">
        <v>9</v>
      </c>
    </row>
    <row r="14" spans="1:9" x14ac:dyDescent="0.2">
      <c r="A14" s="966">
        <f>'4 Vnější potenciál'!A13</f>
        <v>2004</v>
      </c>
      <c r="B14" s="1228">
        <f>'4 Vnější potenciál'!H13</f>
        <v>292.50999933399999</v>
      </c>
      <c r="C14" s="1230">
        <v>10</v>
      </c>
    </row>
    <row r="15" spans="1:9" x14ac:dyDescent="0.2">
      <c r="A15" s="966">
        <f>'4 Vnější potenciál'!A14</f>
        <v>2005</v>
      </c>
      <c r="B15" s="1228">
        <f>'4 Vnější potenciál'!H14</f>
        <v>298.40565453599999</v>
      </c>
      <c r="C15" s="1230">
        <v>11</v>
      </c>
    </row>
    <row r="16" spans="1:9" x14ac:dyDescent="0.2">
      <c r="A16" s="966">
        <f>'4 Vnější potenciál'!A15</f>
        <v>2006</v>
      </c>
      <c r="B16" s="1228">
        <f>'4 Vnější potenciál'!H15</f>
        <v>318.77935830000001</v>
      </c>
      <c r="C16" s="1230">
        <v>12</v>
      </c>
    </row>
    <row r="17" spans="1:3" x14ac:dyDescent="0.2">
      <c r="A17" s="966">
        <f>'4 Vnější potenciál'!A16</f>
        <v>2007</v>
      </c>
      <c r="B17" s="1228">
        <f>'4 Vnější potenciál'!H16</f>
        <v>334.38286477700001</v>
      </c>
      <c r="C17" s="1230">
        <v>13</v>
      </c>
    </row>
    <row r="18" spans="1:3" x14ac:dyDescent="0.2">
      <c r="A18" s="966">
        <f>'4 Vnější potenciál'!A17</f>
        <v>2008</v>
      </c>
      <c r="B18" s="1228">
        <f>'4 Vnější potenciál'!H17</f>
        <v>363.53734435199999</v>
      </c>
      <c r="C18" s="1230">
        <v>14</v>
      </c>
    </row>
    <row r="19" spans="1:3" x14ac:dyDescent="0.2">
      <c r="A19" s="966">
        <f>'4 Vnější potenciál'!A18</f>
        <v>2009</v>
      </c>
      <c r="B19" s="1228">
        <f>'4 Vnější potenciál'!H18</f>
        <v>376.18293715200002</v>
      </c>
      <c r="C19" s="1230">
        <v>15</v>
      </c>
    </row>
    <row r="20" spans="1:3" x14ac:dyDescent="0.2">
      <c r="A20" s="966">
        <f>'4 Vnější potenciál'!A19</f>
        <v>2010</v>
      </c>
      <c r="B20" s="1228">
        <f>'4 Vnější potenciál'!H19</f>
        <v>368.08261050599998</v>
      </c>
      <c r="C20" s="1230">
        <v>16</v>
      </c>
    </row>
    <row r="21" spans="1:3" x14ac:dyDescent="0.2">
      <c r="A21" s="966">
        <f>'4 Vnější potenciál'!A20</f>
        <v>2011</v>
      </c>
      <c r="B21" s="1228">
        <f>'4 Vnější potenciál'!H20</f>
        <v>370.31209148800002</v>
      </c>
      <c r="C21" s="1230">
        <v>17</v>
      </c>
    </row>
    <row r="22" spans="1:3" x14ac:dyDescent="0.2">
      <c r="A22" s="966">
        <f>'4 Vnější potenciál'!A21</f>
        <v>2012</v>
      </c>
      <c r="B22" s="1228">
        <f>'4 Vnější potenciál'!H21</f>
        <v>385.34398976199998</v>
      </c>
      <c r="C22" s="1230">
        <v>18</v>
      </c>
    </row>
    <row r="23" spans="1:3" x14ac:dyDescent="0.2">
      <c r="A23" s="966">
        <f>'4 Vnější potenciál'!A22</f>
        <v>2013</v>
      </c>
      <c r="B23" s="1228">
        <f>'4 Vnější potenciál'!H22</f>
        <v>392.73301543500003</v>
      </c>
      <c r="C23" s="1230">
        <v>19</v>
      </c>
    </row>
    <row r="24" spans="1:3" x14ac:dyDescent="0.2">
      <c r="A24" s="966">
        <f>'4 Vnější potenciál'!A23</f>
        <v>2014</v>
      </c>
      <c r="B24" s="1228">
        <f>'4 Vnější potenciál'!H23</f>
        <v>401.75201667599998</v>
      </c>
      <c r="C24" s="1230">
        <v>20</v>
      </c>
    </row>
    <row r="25" spans="1:3" x14ac:dyDescent="0.2">
      <c r="A25" s="967">
        <f>'4 Vnější potenciál'!A24</f>
        <v>2015</v>
      </c>
      <c r="B25" s="1229">
        <f>'4 Vnější potenciál'!H24</f>
        <v>403.96336567200001</v>
      </c>
      <c r="C25" s="1231">
        <v>21</v>
      </c>
    </row>
    <row r="26" spans="1:3" x14ac:dyDescent="0.2">
      <c r="B26" s="12"/>
    </row>
    <row r="27" spans="1:3" x14ac:dyDescent="0.2">
      <c r="A27" s="954" t="s">
        <v>98</v>
      </c>
    </row>
    <row r="28" spans="1:3" ht="13.5" thickBot="1" x14ac:dyDescent="0.25"/>
    <row r="29" spans="1:3" x14ac:dyDescent="0.2">
      <c r="A29" s="16" t="s">
        <v>99</v>
      </c>
      <c r="B29" s="16"/>
    </row>
    <row r="30" spans="1:3" x14ac:dyDescent="0.2">
      <c r="A30" s="972" t="s">
        <v>100</v>
      </c>
      <c r="B30" s="483">
        <v>0.98437343664378274</v>
      </c>
      <c r="C30" s="1232" t="s">
        <v>594</v>
      </c>
    </row>
    <row r="31" spans="1:3" x14ac:dyDescent="0.2">
      <c r="A31" s="972" t="s">
        <v>101</v>
      </c>
      <c r="B31" s="483">
        <v>0.96899106276989133</v>
      </c>
      <c r="C31" s="1232" t="s">
        <v>595</v>
      </c>
    </row>
    <row r="32" spans="1:3" x14ac:dyDescent="0.2">
      <c r="A32" s="972" t="s">
        <v>102</v>
      </c>
      <c r="B32" s="483">
        <v>0.96735901344199082</v>
      </c>
      <c r="C32" s="1232" t="s">
        <v>800</v>
      </c>
    </row>
    <row r="33" spans="1:9" x14ac:dyDescent="0.2">
      <c r="A33" t="s">
        <v>103</v>
      </c>
      <c r="B33">
        <v>10.967030240107336</v>
      </c>
    </row>
    <row r="34" spans="1:9" ht="13.5" thickBot="1" x14ac:dyDescent="0.25">
      <c r="A34" s="13" t="s">
        <v>104</v>
      </c>
      <c r="B34" s="13">
        <v>21</v>
      </c>
    </row>
    <row r="36" spans="1:9" ht="13.5" thickBot="1" x14ac:dyDescent="0.25">
      <c r="A36" t="s">
        <v>105</v>
      </c>
    </row>
    <row r="37" spans="1:9" ht="25.5" x14ac:dyDescent="0.2">
      <c r="A37" s="15"/>
      <c r="B37" s="973" t="s">
        <v>110</v>
      </c>
      <c r="C37" s="973" t="s">
        <v>111</v>
      </c>
      <c r="D37" s="973" t="s">
        <v>112</v>
      </c>
      <c r="E37" s="973" t="s">
        <v>113</v>
      </c>
      <c r="F37" s="1238" t="s">
        <v>114</v>
      </c>
    </row>
    <row r="38" spans="1:9" x14ac:dyDescent="0.2">
      <c r="A38" t="s">
        <v>106</v>
      </c>
      <c r="B38">
        <v>1</v>
      </c>
      <c r="C38">
        <v>71410.910835871531</v>
      </c>
      <c r="D38">
        <v>71410.910835871531</v>
      </c>
      <c r="E38">
        <v>593.72657811540796</v>
      </c>
      <c r="F38" s="1239">
        <v>8.5537670363307682E-16</v>
      </c>
    </row>
    <row r="39" spans="1:9" x14ac:dyDescent="0.2">
      <c r="A39" t="s">
        <v>107</v>
      </c>
      <c r="B39">
        <v>19</v>
      </c>
      <c r="C39">
        <v>2285.2392934611466</v>
      </c>
      <c r="D39">
        <v>120.27575228742877</v>
      </c>
      <c r="F39" s="1239"/>
    </row>
    <row r="40" spans="1:9" ht="13.5" thickBot="1" x14ac:dyDescent="0.25">
      <c r="A40" s="13" t="s">
        <v>108</v>
      </c>
      <c r="B40" s="13">
        <v>20</v>
      </c>
      <c r="C40" s="13">
        <v>73696.150129332673</v>
      </c>
      <c r="D40" s="13"/>
      <c r="E40" s="13"/>
      <c r="F40" s="1240"/>
    </row>
    <row r="41" spans="1:9" ht="13.5" thickBot="1" x14ac:dyDescent="0.25"/>
    <row r="42" spans="1:9" ht="27.75" customHeight="1" x14ac:dyDescent="0.2">
      <c r="A42" s="484"/>
      <c r="B42" s="1233" t="s">
        <v>115</v>
      </c>
      <c r="C42" s="1234" t="s">
        <v>103</v>
      </c>
      <c r="D42" s="973" t="s">
        <v>116</v>
      </c>
      <c r="E42" s="1238" t="s">
        <v>117</v>
      </c>
      <c r="F42" s="973" t="s">
        <v>118</v>
      </c>
      <c r="G42" s="973" t="s">
        <v>119</v>
      </c>
      <c r="H42" s="973" t="s">
        <v>120</v>
      </c>
      <c r="I42" s="973" t="s">
        <v>121</v>
      </c>
    </row>
    <row r="43" spans="1:9" x14ac:dyDescent="0.2">
      <c r="A43" s="483" t="s">
        <v>109</v>
      </c>
      <c r="B43" s="483">
        <v>209.85634258087617</v>
      </c>
      <c r="C43">
        <v>4.9626497090813224</v>
      </c>
      <c r="D43">
        <v>42.287156032160176</v>
      </c>
      <c r="E43" s="1239">
        <v>2.9209159496988929E-20</v>
      </c>
      <c r="F43">
        <v>199.46939738876372</v>
      </c>
      <c r="G43">
        <v>220.24328777298862</v>
      </c>
      <c r="H43">
        <v>199.46939738876372</v>
      </c>
      <c r="I43">
        <v>220.24328777298862</v>
      </c>
    </row>
    <row r="44" spans="1:9" ht="13.5" thickBot="1" x14ac:dyDescent="0.25">
      <c r="A44" s="485" t="s">
        <v>96</v>
      </c>
      <c r="B44" s="485">
        <v>9.6302358560935044</v>
      </c>
      <c r="C44" s="13">
        <v>0.39522433591311074</v>
      </c>
      <c r="D44" s="13">
        <v>24.366505250351516</v>
      </c>
      <c r="E44" s="1240">
        <v>8.5537670363307682E-16</v>
      </c>
      <c r="F44" s="13">
        <v>8.8030218159394451</v>
      </c>
      <c r="G44" s="13">
        <v>10.457449896247564</v>
      </c>
      <c r="H44" s="13">
        <v>8.8030218159394451</v>
      </c>
      <c r="I44" s="13">
        <v>10.457449896247564</v>
      </c>
    </row>
  </sheetData>
  <phoneticPr fontId="0" type="noConversion"/>
  <hyperlinks>
    <hyperlink ref="I1" location="Obsah!A1" display="Skok na obsah" xr:uid="{00000000-0004-0000-0100-000000000000}"/>
  </hyperlinks>
  <pageMargins left="0.39370078740157483" right="0.39370078740157483" top="0.98425196850393704" bottom="0.98425196850393704" header="0.51181102362204722" footer="0.51181102362204722"/>
  <pageSetup paperSize="9" scale="90" orientation="portrait" r:id="rId1"/>
  <headerFooter alignWithMargins="0">
    <oddHeader>&amp;LMařík, M. a kol.: Metody oceňování podniku - 1. díl, Ekopress 2024&amp;RPříklad UNIPO, a.s.</oddHeader>
    <oddFooter>&amp;C&amp;A&amp;R&amp;"Arial CE,kurzíva"© M. Mařík, P. Maříková</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21"/>
  <sheetViews>
    <sheetView workbookViewId="0"/>
  </sheetViews>
  <sheetFormatPr defaultRowHeight="12.75" x14ac:dyDescent="0.2"/>
  <cols>
    <col min="1" max="1" width="61.140625" customWidth="1"/>
    <col min="4" max="4" width="13.42578125" customWidth="1"/>
  </cols>
  <sheetData>
    <row r="1" spans="1:6" ht="15.75" x14ac:dyDescent="0.25">
      <c r="A1" s="785" t="s">
        <v>489</v>
      </c>
    </row>
    <row r="2" spans="1:6" x14ac:dyDescent="0.2">
      <c r="D2" s="926" t="s">
        <v>557</v>
      </c>
    </row>
    <row r="3" spans="1:6" ht="18" customHeight="1" x14ac:dyDescent="0.2">
      <c r="A3" s="1362" t="s">
        <v>869</v>
      </c>
      <c r="B3" s="1000">
        <v>2.7900000000000001E-2</v>
      </c>
      <c r="C3" s="67"/>
      <c r="D3" s="67"/>
    </row>
    <row r="4" spans="1:6" ht="18" customHeight="1" x14ac:dyDescent="0.2">
      <c r="A4" s="1363" t="s">
        <v>841</v>
      </c>
      <c r="B4" s="792">
        <v>0.65</v>
      </c>
      <c r="C4" s="67"/>
      <c r="D4" s="67"/>
    </row>
    <row r="5" spans="1:6" ht="18" customHeight="1" x14ac:dyDescent="0.2">
      <c r="A5" s="1363" t="s">
        <v>827</v>
      </c>
      <c r="B5" s="1364">
        <f>4.62%-(2.79%-2.45%)</f>
        <v>4.2799999999999998E-2</v>
      </c>
      <c r="C5" s="67"/>
      <c r="D5" s="67"/>
    </row>
    <row r="6" spans="1:6" ht="18" customHeight="1" x14ac:dyDescent="0.2">
      <c r="A6" s="793" t="s">
        <v>301</v>
      </c>
      <c r="B6" s="794" t="s">
        <v>607</v>
      </c>
    </row>
    <row r="7" spans="1:6" ht="18" customHeight="1" x14ac:dyDescent="0.2">
      <c r="A7" s="487"/>
      <c r="B7" s="487"/>
    </row>
    <row r="8" spans="1:6" ht="18" customHeight="1" x14ac:dyDescent="0.2">
      <c r="A8" s="790" t="s">
        <v>608</v>
      </c>
      <c r="B8" s="1000">
        <v>8.0999999999999996E-3</v>
      </c>
    </row>
    <row r="9" spans="1:6" ht="18" customHeight="1" x14ac:dyDescent="0.2">
      <c r="A9" s="792" t="s">
        <v>303</v>
      </c>
      <c r="B9" s="792">
        <v>2.8</v>
      </c>
    </row>
    <row r="10" spans="1:6" ht="18" customHeight="1" x14ac:dyDescent="0.2">
      <c r="A10" s="793" t="s">
        <v>302</v>
      </c>
      <c r="B10" s="999">
        <f>B8*B9</f>
        <v>2.2679999999999999E-2</v>
      </c>
      <c r="F10" s="1066"/>
    </row>
    <row r="11" spans="1:6" ht="18" customHeight="1" x14ac:dyDescent="0.2">
      <c r="A11" s="787" t="s">
        <v>828</v>
      </c>
      <c r="B11" s="1001">
        <f>B10-0.004</f>
        <v>1.8679999999999999E-2</v>
      </c>
      <c r="F11" s="1066"/>
    </row>
    <row r="12" spans="1:6" ht="18" customHeight="1" x14ac:dyDescent="0.2">
      <c r="A12" s="487"/>
      <c r="B12" s="487"/>
    </row>
    <row r="13" spans="1:6" ht="18" customHeight="1" x14ac:dyDescent="0.2">
      <c r="A13" s="790" t="s">
        <v>304</v>
      </c>
      <c r="B13" s="791">
        <v>0.02</v>
      </c>
    </row>
    <row r="14" spans="1:6" ht="18" customHeight="1" x14ac:dyDescent="0.2">
      <c r="A14" s="1365" t="s">
        <v>829</v>
      </c>
      <c r="B14" s="795">
        <v>1.4999999999999999E-2</v>
      </c>
    </row>
    <row r="15" spans="1:6" ht="18" customHeight="1" x14ac:dyDescent="0.2">
      <c r="A15" s="487"/>
      <c r="B15" s="487"/>
    </row>
    <row r="16" spans="1:6" ht="18" customHeight="1" x14ac:dyDescent="0.2">
      <c r="A16" s="790" t="s">
        <v>305</v>
      </c>
      <c r="B16" s="1366">
        <v>0.32</v>
      </c>
    </row>
    <row r="17" spans="1:3" ht="18" customHeight="1" x14ac:dyDescent="0.2">
      <c r="A17" s="793" t="s">
        <v>306</v>
      </c>
      <c r="B17" s="796">
        <f>'18 Plán'!F7</f>
        <v>0.19</v>
      </c>
    </row>
    <row r="18" spans="1:3" ht="18" customHeight="1" x14ac:dyDescent="0.2">
      <c r="A18" s="487"/>
      <c r="B18" s="487"/>
    </row>
    <row r="19" spans="1:3" ht="18" customHeight="1" x14ac:dyDescent="0.2">
      <c r="A19" s="787" t="s">
        <v>307</v>
      </c>
      <c r="B19" s="1084">
        <f>B4*(1+B16*(1-B17))</f>
        <v>0.8184800000000001</v>
      </c>
    </row>
    <row r="20" spans="1:3" ht="18" customHeight="1" x14ac:dyDescent="0.2">
      <c r="A20" s="487"/>
      <c r="B20" s="487"/>
    </row>
    <row r="21" spans="1:3" ht="18" customHeight="1" x14ac:dyDescent="0.2">
      <c r="A21" s="788" t="s">
        <v>293</v>
      </c>
      <c r="B21" s="789">
        <f>ROUND(B3+B5*B19+B11+B13+B14,3)</f>
        <v>0.11700000000000001</v>
      </c>
      <c r="C21" s="67"/>
    </row>
  </sheetData>
  <phoneticPr fontId="0" type="noConversion"/>
  <hyperlinks>
    <hyperlink ref="D2" location="Obsah!A1" display="Skok na obsah" xr:uid="{00000000-0004-0000-1300-000000000000}"/>
  </hyperlinks>
  <pageMargins left="0.78740157480314965" right="0.78740157480314965" top="0.98425196850393704" bottom="0.98425196850393704" header="0.51181102362204722" footer="0.51181102362204722"/>
  <pageSetup paperSize="9" scale="93" orientation="portrait" r:id="rId1"/>
  <headerFooter alignWithMargins="0">
    <oddHeader>&amp;LMařík, M. a kol.: Metody oceňování podniku - 1. díl, Ekopress 2024&amp;RPříklad UNIPO, a.s.</oddHeader>
    <oddFooter>&amp;C&amp;A&amp;R&amp;"Arial CE,kurzíva"© M. Mařík, P. Maříková</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84"/>
  <sheetViews>
    <sheetView workbookViewId="0"/>
  </sheetViews>
  <sheetFormatPr defaultRowHeight="12.75" x14ac:dyDescent="0.2"/>
  <cols>
    <col min="1" max="1" width="28.7109375" customWidth="1"/>
    <col min="2" max="2" width="13.5703125" customWidth="1"/>
    <col min="3" max="3" width="11.5703125" customWidth="1"/>
    <col min="4" max="4" width="13" customWidth="1"/>
    <col min="5" max="5" width="12.140625" customWidth="1"/>
    <col min="6" max="6" width="14.7109375" customWidth="1"/>
    <col min="7" max="7" width="6.28515625" customWidth="1"/>
    <col min="8" max="8" width="6.85546875" customWidth="1"/>
  </cols>
  <sheetData>
    <row r="1" spans="1:8" ht="15.75" x14ac:dyDescent="0.25">
      <c r="A1" s="785" t="s">
        <v>490</v>
      </c>
      <c r="G1" s="1497" t="s">
        <v>557</v>
      </c>
      <c r="H1" s="1497"/>
    </row>
    <row r="2" spans="1:8" ht="13.5" thickBot="1" x14ac:dyDescent="0.25"/>
    <row r="3" spans="1:8" ht="39" thickBot="1" x14ac:dyDescent="0.25">
      <c r="A3" s="1415"/>
      <c r="B3" s="499" t="s">
        <v>298</v>
      </c>
      <c r="C3" s="505" t="s">
        <v>259</v>
      </c>
      <c r="D3" s="1418" t="s">
        <v>260</v>
      </c>
    </row>
    <row r="4" spans="1:8" x14ac:dyDescent="0.2">
      <c r="A4" s="85" t="s">
        <v>261</v>
      </c>
      <c r="B4" s="1419">
        <f>SUM(B5:B10)</f>
        <v>23</v>
      </c>
      <c r="C4" s="1420"/>
      <c r="D4" s="1421">
        <f>SUM(D5:D10)</f>
        <v>23</v>
      </c>
      <c r="E4" s="434" t="s">
        <v>488</v>
      </c>
      <c r="F4" s="434"/>
      <c r="G4" s="434"/>
      <c r="H4" s="1472">
        <v>1.7000000000000001E-2</v>
      </c>
    </row>
    <row r="5" spans="1:8" ht="15.75" x14ac:dyDescent="0.3">
      <c r="A5" s="1422" t="s">
        <v>262</v>
      </c>
      <c r="B5" s="1423">
        <f>C26</f>
        <v>4</v>
      </c>
      <c r="C5" s="1416">
        <v>1</v>
      </c>
      <c r="D5" s="1068">
        <f>B5*C5</f>
        <v>4</v>
      </c>
      <c r="E5" t="s">
        <v>300</v>
      </c>
      <c r="H5" s="1473">
        <f>H4/D12</f>
        <v>4.9418604651162797E-4</v>
      </c>
    </row>
    <row r="6" spans="1:8" ht="15.75" x14ac:dyDescent="0.3">
      <c r="A6" s="1372" t="s">
        <v>263</v>
      </c>
      <c r="B6" s="1423">
        <f>C33</f>
        <v>3</v>
      </c>
      <c r="C6" s="1416">
        <v>1</v>
      </c>
      <c r="D6" s="1068">
        <f t="shared" ref="D6:D11" si="0">B6*C6</f>
        <v>3</v>
      </c>
      <c r="E6" t="s">
        <v>299</v>
      </c>
      <c r="H6" s="1474">
        <v>0.35</v>
      </c>
    </row>
    <row r="7" spans="1:8" ht="15.75" x14ac:dyDescent="0.3">
      <c r="A7" s="1372" t="s">
        <v>264</v>
      </c>
      <c r="B7" s="1423">
        <f>C40</f>
        <v>6</v>
      </c>
      <c r="C7" s="1416">
        <v>1</v>
      </c>
      <c r="D7" s="1068">
        <f t="shared" si="0"/>
        <v>6</v>
      </c>
      <c r="E7" s="244" t="s">
        <v>680</v>
      </c>
      <c r="F7" s="244"/>
      <c r="G7" s="244"/>
      <c r="H7" s="1470">
        <f>(H6/H4)^(1/4)</f>
        <v>2.1301234858254463</v>
      </c>
    </row>
    <row r="8" spans="1:8" x14ac:dyDescent="0.2">
      <c r="A8" s="1372" t="s">
        <v>265</v>
      </c>
      <c r="B8" s="1423">
        <f>C47</f>
        <v>3</v>
      </c>
      <c r="C8" s="1416">
        <v>1</v>
      </c>
      <c r="D8" s="1068">
        <f t="shared" si="0"/>
        <v>3</v>
      </c>
      <c r="E8" s="237"/>
      <c r="H8" s="66"/>
    </row>
    <row r="9" spans="1:8" x14ac:dyDescent="0.2">
      <c r="A9" s="1372" t="s">
        <v>266</v>
      </c>
      <c r="B9" s="1423">
        <f>C54</f>
        <v>3</v>
      </c>
      <c r="C9" s="1416">
        <v>1</v>
      </c>
      <c r="D9" s="1068">
        <f t="shared" si="0"/>
        <v>3</v>
      </c>
      <c r="E9" s="237"/>
      <c r="H9" s="66"/>
    </row>
    <row r="10" spans="1:8" x14ac:dyDescent="0.2">
      <c r="A10" s="1376" t="s">
        <v>267</v>
      </c>
      <c r="B10" s="1424">
        <f>C61</f>
        <v>4</v>
      </c>
      <c r="C10" s="1417">
        <v>1</v>
      </c>
      <c r="D10" s="1068">
        <f>B10*C10</f>
        <v>4</v>
      </c>
      <c r="H10" s="66"/>
    </row>
    <row r="11" spans="1:8" ht="13.5" thickBot="1" x14ac:dyDescent="0.25">
      <c r="A11" s="1425" t="s">
        <v>268</v>
      </c>
      <c r="B11" s="1426">
        <f>C69</f>
        <v>6</v>
      </c>
      <c r="C11" s="1427">
        <v>1.9</v>
      </c>
      <c r="D11" s="1031">
        <f t="shared" si="0"/>
        <v>11.399999999999999</v>
      </c>
      <c r="H11" s="66"/>
    </row>
    <row r="12" spans="1:8" ht="13.5" thickBot="1" x14ac:dyDescent="0.25">
      <c r="A12" s="1428" t="s">
        <v>269</v>
      </c>
      <c r="B12" s="211">
        <f>B4+B11</f>
        <v>29</v>
      </c>
      <c r="C12" s="1429"/>
      <c r="D12" s="230">
        <f>D4+D11</f>
        <v>34.4</v>
      </c>
      <c r="E12" s="241" t="s">
        <v>270</v>
      </c>
      <c r="F12" s="241"/>
      <c r="G12" s="79"/>
      <c r="H12" s="1471">
        <f>D4/D11</f>
        <v>2.0175438596491229</v>
      </c>
    </row>
    <row r="13" spans="1:8" ht="16.5" thickBot="1" x14ac:dyDescent="0.3">
      <c r="B13" s="240"/>
    </row>
    <row r="14" spans="1:8" ht="40.5" thickBot="1" x14ac:dyDescent="0.25">
      <c r="A14" s="1453" t="s">
        <v>271</v>
      </c>
      <c r="B14" s="1454" t="s">
        <v>895</v>
      </c>
      <c r="C14" s="505" t="s">
        <v>896</v>
      </c>
      <c r="D14" s="1418" t="s">
        <v>893</v>
      </c>
      <c r="E14" s="66"/>
      <c r="F14" s="66"/>
    </row>
    <row r="15" spans="1:8" x14ac:dyDescent="0.2">
      <c r="A15" s="1377" t="s">
        <v>272</v>
      </c>
      <c r="B15" s="1430">
        <f>$H$7^1</f>
        <v>2.1301234858254463</v>
      </c>
      <c r="C15" s="1431">
        <f>B15-1</f>
        <v>1.1301234858254463</v>
      </c>
      <c r="D15" s="1432">
        <f>$H$5*C15</f>
        <v>5.584912575300171E-4</v>
      </c>
      <c r="E15" s="66"/>
      <c r="F15" s="66"/>
    </row>
    <row r="16" spans="1:8" x14ac:dyDescent="0.2">
      <c r="A16" s="1433" t="s">
        <v>273</v>
      </c>
      <c r="B16" s="1434">
        <f>$H$7^2</f>
        <v>4.5374260648651505</v>
      </c>
      <c r="C16" s="1435">
        <f>B16-1</f>
        <v>3.5374260648651505</v>
      </c>
      <c r="D16" s="1436">
        <f>$H$5*C16</f>
        <v>1.7481466018228944E-3</v>
      </c>
      <c r="E16" s="66"/>
      <c r="F16" s="66"/>
    </row>
    <row r="17" spans="1:6" x14ac:dyDescent="0.2">
      <c r="A17" s="1433" t="s">
        <v>274</v>
      </c>
      <c r="B17" s="1434">
        <f>$H$7^3</f>
        <v>9.6652778259657914</v>
      </c>
      <c r="C17" s="1435">
        <f>B17-1</f>
        <v>8.6652778259657914</v>
      </c>
      <c r="D17" s="1436">
        <f>$H$5*C17</f>
        <v>4.2822593907389092E-3</v>
      </c>
      <c r="E17" s="66"/>
      <c r="F17" s="66"/>
    </row>
    <row r="18" spans="1:6" ht="13.5" thickBot="1" x14ac:dyDescent="0.25">
      <c r="A18" s="1437" t="s">
        <v>275</v>
      </c>
      <c r="B18" s="1438">
        <f>$H$7^4</f>
        <v>20.588235294117645</v>
      </c>
      <c r="C18" s="1439">
        <f>B18-1</f>
        <v>19.588235294117645</v>
      </c>
      <c r="D18" s="1440">
        <f>$H$5*C18</f>
        <v>9.680232558139535E-3</v>
      </c>
      <c r="E18" s="66"/>
      <c r="F18" s="66"/>
    </row>
    <row r="19" spans="1:6" x14ac:dyDescent="0.2">
      <c r="A19" s="66"/>
      <c r="B19" s="66"/>
      <c r="C19" s="66"/>
      <c r="D19" s="66"/>
      <c r="E19" s="66"/>
      <c r="F19" s="66"/>
    </row>
    <row r="20" spans="1:6" ht="13.5" thickBot="1" x14ac:dyDescent="0.25">
      <c r="A20" s="674" t="s">
        <v>276</v>
      </c>
      <c r="B20" s="66"/>
      <c r="C20" s="66"/>
      <c r="D20" s="66"/>
      <c r="E20" s="66"/>
      <c r="F20" s="66"/>
    </row>
    <row r="21" spans="1:6" ht="39" thickBot="1" x14ac:dyDescent="0.25">
      <c r="A21" s="1453" t="s">
        <v>277</v>
      </c>
      <c r="B21" s="499" t="s">
        <v>894</v>
      </c>
      <c r="C21" s="1455" t="s">
        <v>278</v>
      </c>
      <c r="D21" s="505" t="s">
        <v>259</v>
      </c>
      <c r="E21" s="505" t="s">
        <v>279</v>
      </c>
      <c r="F21" s="1456" t="s">
        <v>897</v>
      </c>
    </row>
    <row r="22" spans="1:6" x14ac:dyDescent="0.2">
      <c r="A22" s="236" t="s">
        <v>280</v>
      </c>
      <c r="B22" s="1457">
        <f>$D$15</f>
        <v>5.584912575300171E-4</v>
      </c>
      <c r="C22" s="1441">
        <v>1</v>
      </c>
      <c r="D22" s="1442">
        <f>$C$5</f>
        <v>1</v>
      </c>
      <c r="E22" s="1442">
        <f>C22*D22</f>
        <v>1</v>
      </c>
      <c r="F22" s="1432">
        <f>B22*E22</f>
        <v>5.584912575300171E-4</v>
      </c>
    </row>
    <row r="23" spans="1:6" x14ac:dyDescent="0.2">
      <c r="A23" s="80" t="s">
        <v>281</v>
      </c>
      <c r="B23" s="1458">
        <f>$D$16</f>
        <v>1.7481466018228944E-3</v>
      </c>
      <c r="C23" s="1443">
        <v>3</v>
      </c>
      <c r="D23" s="1444">
        <f>$C$5</f>
        <v>1</v>
      </c>
      <c r="E23" s="1444">
        <f>C23*D23</f>
        <v>3</v>
      </c>
      <c r="F23" s="1436">
        <f>B23*E23</f>
        <v>5.2444398054686831E-3</v>
      </c>
    </row>
    <row r="24" spans="1:6" x14ac:dyDescent="0.2">
      <c r="A24" s="80" t="s">
        <v>282</v>
      </c>
      <c r="B24" s="1458">
        <f>$D$17</f>
        <v>4.2822593907389092E-3</v>
      </c>
      <c r="C24" s="1443"/>
      <c r="D24" s="1444">
        <f>$C$5</f>
        <v>1</v>
      </c>
      <c r="E24" s="1444">
        <f>C24*D24</f>
        <v>0</v>
      </c>
      <c r="F24" s="1436">
        <f>B24*E24</f>
        <v>0</v>
      </c>
    </row>
    <row r="25" spans="1:6" ht="13.5" thickBot="1" x14ac:dyDescent="0.25">
      <c r="A25" s="1445" t="s">
        <v>283</v>
      </c>
      <c r="B25" s="1459">
        <f>$D$18</f>
        <v>9.680232558139535E-3</v>
      </c>
      <c r="C25" s="1446"/>
      <c r="D25" s="1447">
        <f>$C$5</f>
        <v>1</v>
      </c>
      <c r="E25" s="1447">
        <f>C25*D25</f>
        <v>0</v>
      </c>
      <c r="F25" s="1440">
        <f>B25*E25</f>
        <v>0</v>
      </c>
    </row>
    <row r="26" spans="1:6" ht="13.5" thickBot="1" x14ac:dyDescent="0.25">
      <c r="A26" s="74" t="s">
        <v>284</v>
      </c>
      <c r="B26" s="1460"/>
      <c r="C26" s="1460">
        <f>SUM(C22:C25)</f>
        <v>4</v>
      </c>
      <c r="D26" s="1460"/>
      <c r="E26" s="1460">
        <f>SUM(E22:E25)</f>
        <v>4</v>
      </c>
      <c r="F26" s="1461">
        <f>SUM(F22:F25)</f>
        <v>5.8029310629986999E-3</v>
      </c>
    </row>
    <row r="27" spans="1:6" ht="13.5" thickBot="1" x14ac:dyDescent="0.25">
      <c r="A27" s="66"/>
      <c r="B27" s="1448"/>
      <c r="C27" s="1448"/>
      <c r="D27" s="1448"/>
      <c r="E27" s="1448"/>
      <c r="F27" s="1448"/>
    </row>
    <row r="28" spans="1:6" ht="39" thickBot="1" x14ac:dyDescent="0.25">
      <c r="A28" s="1453" t="s">
        <v>285</v>
      </c>
      <c r="B28" s="499" t="s">
        <v>894</v>
      </c>
      <c r="C28" s="1455" t="s">
        <v>278</v>
      </c>
      <c r="D28" s="505" t="s">
        <v>259</v>
      </c>
      <c r="E28" s="505" t="s">
        <v>279</v>
      </c>
      <c r="F28" s="1456" t="s">
        <v>897</v>
      </c>
    </row>
    <row r="29" spans="1:6" x14ac:dyDescent="0.2">
      <c r="A29" s="236" t="s">
        <v>280</v>
      </c>
      <c r="B29" s="1457">
        <f>$H$5*C$15</f>
        <v>5.584912575300171E-4</v>
      </c>
      <c r="C29" s="1449"/>
      <c r="D29" s="1442">
        <f>$C$6</f>
        <v>1</v>
      </c>
      <c r="E29" s="1442">
        <f>C29*D29</f>
        <v>0</v>
      </c>
      <c r="F29" s="1432">
        <f>B29*E29</f>
        <v>0</v>
      </c>
    </row>
    <row r="30" spans="1:6" x14ac:dyDescent="0.2">
      <c r="A30" s="80" t="s">
        <v>281</v>
      </c>
      <c r="B30" s="1458">
        <f>$H$5*C$16</f>
        <v>1.7481466018228944E-3</v>
      </c>
      <c r="C30" s="1450">
        <v>2</v>
      </c>
      <c r="D30" s="1444">
        <f>$C$6</f>
        <v>1</v>
      </c>
      <c r="E30" s="1444">
        <f>C30*D30</f>
        <v>2</v>
      </c>
      <c r="F30" s="1436">
        <f>B30*E30</f>
        <v>3.4962932036457887E-3</v>
      </c>
    </row>
    <row r="31" spans="1:6" x14ac:dyDescent="0.2">
      <c r="A31" s="80" t="s">
        <v>282</v>
      </c>
      <c r="B31" s="1458">
        <f>$H$5*C$17</f>
        <v>4.2822593907389092E-3</v>
      </c>
      <c r="C31" s="1450">
        <v>1</v>
      </c>
      <c r="D31" s="1444">
        <f>$C$6</f>
        <v>1</v>
      </c>
      <c r="E31" s="1444">
        <f>C31*D31</f>
        <v>1</v>
      </c>
      <c r="F31" s="1436">
        <f>B31*E31</f>
        <v>4.2822593907389092E-3</v>
      </c>
    </row>
    <row r="32" spans="1:6" ht="13.5" thickBot="1" x14ac:dyDescent="0.25">
      <c r="A32" s="1445" t="s">
        <v>283</v>
      </c>
      <c r="B32" s="1459">
        <f>$H$5*C$18</f>
        <v>9.680232558139535E-3</v>
      </c>
      <c r="C32" s="1451"/>
      <c r="D32" s="1447">
        <f>$C$6</f>
        <v>1</v>
      </c>
      <c r="E32" s="1447">
        <f>C32*D32</f>
        <v>0</v>
      </c>
      <c r="F32" s="1440">
        <f>B32*E32</f>
        <v>0</v>
      </c>
    </row>
    <row r="33" spans="1:6" ht="13.5" thickBot="1" x14ac:dyDescent="0.25">
      <c r="A33" s="74" t="s">
        <v>284</v>
      </c>
      <c r="B33" s="1460"/>
      <c r="C33" s="1460">
        <f>SUM(C29:C32)</f>
        <v>3</v>
      </c>
      <c r="D33" s="1460"/>
      <c r="E33" s="1460">
        <f>SUM(E29:E32)</f>
        <v>3</v>
      </c>
      <c r="F33" s="1461">
        <f>SUM(F29:F32)</f>
        <v>7.7785525943846979E-3</v>
      </c>
    </row>
    <row r="34" spans="1:6" ht="13.5" thickBot="1" x14ac:dyDescent="0.25">
      <c r="A34" s="1"/>
      <c r="B34" s="1462"/>
      <c r="C34" s="1462"/>
      <c r="D34" s="1462"/>
      <c r="E34" s="1462"/>
      <c r="F34" s="1462"/>
    </row>
    <row r="35" spans="1:6" ht="39" thickBot="1" x14ac:dyDescent="0.25">
      <c r="A35" s="1453" t="s">
        <v>264</v>
      </c>
      <c r="B35" s="499" t="s">
        <v>894</v>
      </c>
      <c r="C35" s="1455" t="s">
        <v>278</v>
      </c>
      <c r="D35" s="505" t="s">
        <v>259</v>
      </c>
      <c r="E35" s="505" t="s">
        <v>279</v>
      </c>
      <c r="F35" s="1456" t="s">
        <v>897</v>
      </c>
    </row>
    <row r="36" spans="1:6" x14ac:dyDescent="0.2">
      <c r="A36" s="236" t="s">
        <v>280</v>
      </c>
      <c r="B36" s="1457">
        <f>$H$5*C$15</f>
        <v>5.584912575300171E-4</v>
      </c>
      <c r="C36" s="1449"/>
      <c r="D36" s="1442">
        <f>$C$7</f>
        <v>1</v>
      </c>
      <c r="E36" s="1442">
        <f>C36*D36</f>
        <v>0</v>
      </c>
      <c r="F36" s="1432">
        <f>B36*E36</f>
        <v>0</v>
      </c>
    </row>
    <row r="37" spans="1:6" x14ac:dyDescent="0.2">
      <c r="A37" s="80" t="s">
        <v>281</v>
      </c>
      <c r="B37" s="1458">
        <f>$H$5*C$16</f>
        <v>1.7481466018228944E-3</v>
      </c>
      <c r="C37" s="1450">
        <v>4</v>
      </c>
      <c r="D37" s="1444">
        <f>$C$7</f>
        <v>1</v>
      </c>
      <c r="E37" s="1444">
        <f>C37*D37</f>
        <v>4</v>
      </c>
      <c r="F37" s="1436">
        <f>B37*E37</f>
        <v>6.9925864072915775E-3</v>
      </c>
    </row>
    <row r="38" spans="1:6" x14ac:dyDescent="0.2">
      <c r="A38" s="80" t="s">
        <v>282</v>
      </c>
      <c r="B38" s="1458">
        <f>$H$5*C$17</f>
        <v>4.2822593907389092E-3</v>
      </c>
      <c r="C38" s="1450">
        <v>2</v>
      </c>
      <c r="D38" s="1444">
        <f>$C$7</f>
        <v>1</v>
      </c>
      <c r="E38" s="1444">
        <f>C38*D38</f>
        <v>2</v>
      </c>
      <c r="F38" s="1436">
        <f>B38*E38</f>
        <v>8.5645187814778184E-3</v>
      </c>
    </row>
    <row r="39" spans="1:6" ht="13.5" thickBot="1" x14ac:dyDescent="0.25">
      <c r="A39" s="1445" t="s">
        <v>283</v>
      </c>
      <c r="B39" s="1459">
        <f>$H$5*C$18</f>
        <v>9.680232558139535E-3</v>
      </c>
      <c r="C39" s="1451"/>
      <c r="D39" s="1447">
        <f>$C$7</f>
        <v>1</v>
      </c>
      <c r="E39" s="1447">
        <f>C39*D39</f>
        <v>0</v>
      </c>
      <c r="F39" s="1440">
        <f>B39*E39</f>
        <v>0</v>
      </c>
    </row>
    <row r="40" spans="1:6" ht="13.5" thickBot="1" x14ac:dyDescent="0.25">
      <c r="A40" s="74" t="s">
        <v>284</v>
      </c>
      <c r="B40" s="1460"/>
      <c r="C40" s="1460">
        <f>SUM(C36:C39)</f>
        <v>6</v>
      </c>
      <c r="D40" s="1460"/>
      <c r="E40" s="1460">
        <f>SUM(E36:E39)</f>
        <v>6</v>
      </c>
      <c r="F40" s="1461">
        <f>SUM(F36:F39)</f>
        <v>1.5557105188769396E-2</v>
      </c>
    </row>
    <row r="41" spans="1:6" ht="13.5" thickBot="1" x14ac:dyDescent="0.25">
      <c r="A41" s="66"/>
      <c r="B41" s="1448"/>
      <c r="C41" s="1448"/>
      <c r="D41" s="1448"/>
      <c r="E41" s="1448"/>
      <c r="F41" s="1448"/>
    </row>
    <row r="42" spans="1:6" ht="39" thickBot="1" x14ac:dyDescent="0.25">
      <c r="A42" s="1453" t="s">
        <v>265</v>
      </c>
      <c r="B42" s="499" t="s">
        <v>894</v>
      </c>
      <c r="C42" s="1455" t="s">
        <v>278</v>
      </c>
      <c r="D42" s="505" t="s">
        <v>259</v>
      </c>
      <c r="E42" s="505" t="s">
        <v>279</v>
      </c>
      <c r="F42" s="1456" t="s">
        <v>897</v>
      </c>
    </row>
    <row r="43" spans="1:6" x14ac:dyDescent="0.2">
      <c r="A43" s="236" t="s">
        <v>280</v>
      </c>
      <c r="B43" s="1457">
        <f>$H$5*C$15</f>
        <v>5.584912575300171E-4</v>
      </c>
      <c r="C43" s="1449">
        <v>1</v>
      </c>
      <c r="D43" s="1442">
        <f>$C$8</f>
        <v>1</v>
      </c>
      <c r="E43" s="1442">
        <f>C43*D43</f>
        <v>1</v>
      </c>
      <c r="F43" s="1432">
        <f>B43*E43</f>
        <v>5.584912575300171E-4</v>
      </c>
    </row>
    <row r="44" spans="1:6" x14ac:dyDescent="0.2">
      <c r="A44" s="80" t="s">
        <v>281</v>
      </c>
      <c r="B44" s="1458">
        <f>$H$5*C$16</f>
        <v>1.7481466018228944E-3</v>
      </c>
      <c r="C44" s="1450">
        <v>1</v>
      </c>
      <c r="D44" s="1444">
        <f>$C$8</f>
        <v>1</v>
      </c>
      <c r="E44" s="1444">
        <f>C44*D44</f>
        <v>1</v>
      </c>
      <c r="F44" s="1436">
        <f>B44*E44</f>
        <v>1.7481466018228944E-3</v>
      </c>
    </row>
    <row r="45" spans="1:6" x14ac:dyDescent="0.2">
      <c r="A45" s="80" t="s">
        <v>282</v>
      </c>
      <c r="B45" s="1458">
        <f>$H$5*C$17</f>
        <v>4.2822593907389092E-3</v>
      </c>
      <c r="C45" s="1450">
        <v>1</v>
      </c>
      <c r="D45" s="1444">
        <f>$C$8</f>
        <v>1</v>
      </c>
      <c r="E45" s="1444">
        <f>C45*D45</f>
        <v>1</v>
      </c>
      <c r="F45" s="1436">
        <f>B45*E45</f>
        <v>4.2822593907389092E-3</v>
      </c>
    </row>
    <row r="46" spans="1:6" ht="13.5" thickBot="1" x14ac:dyDescent="0.25">
      <c r="A46" s="1445" t="s">
        <v>283</v>
      </c>
      <c r="B46" s="1459">
        <f>$H$5*C$18</f>
        <v>9.680232558139535E-3</v>
      </c>
      <c r="C46" s="1451"/>
      <c r="D46" s="1447">
        <f>$C$8</f>
        <v>1</v>
      </c>
      <c r="E46" s="1447">
        <f>C46*D46</f>
        <v>0</v>
      </c>
      <c r="F46" s="1440">
        <f>B46*E46</f>
        <v>0</v>
      </c>
    </row>
    <row r="47" spans="1:6" ht="13.5" thickBot="1" x14ac:dyDescent="0.25">
      <c r="A47" s="74" t="s">
        <v>284</v>
      </c>
      <c r="B47" s="1460"/>
      <c r="C47" s="1460">
        <f>SUM(C43:C46)</f>
        <v>3</v>
      </c>
      <c r="D47" s="1460"/>
      <c r="E47" s="1460">
        <f>SUM(E43:E46)</f>
        <v>3</v>
      </c>
      <c r="F47" s="1461">
        <f>SUM(F43:F46)</f>
        <v>6.5888972500918203E-3</v>
      </c>
    </row>
    <row r="48" spans="1:6" ht="13.5" thickBot="1" x14ac:dyDescent="0.25">
      <c r="A48" s="66"/>
      <c r="B48" s="1448"/>
      <c r="C48" s="1448"/>
      <c r="D48" s="1448"/>
      <c r="E48" s="1448"/>
      <c r="F48" s="1448"/>
    </row>
    <row r="49" spans="1:6" ht="39" thickBot="1" x14ac:dyDescent="0.25">
      <c r="A49" s="1453" t="s">
        <v>266</v>
      </c>
      <c r="B49" s="499" t="s">
        <v>894</v>
      </c>
      <c r="C49" s="1455" t="s">
        <v>278</v>
      </c>
      <c r="D49" s="505" t="s">
        <v>259</v>
      </c>
      <c r="E49" s="505" t="s">
        <v>279</v>
      </c>
      <c r="F49" s="1456" t="s">
        <v>897</v>
      </c>
    </row>
    <row r="50" spans="1:6" x14ac:dyDescent="0.2">
      <c r="A50" s="236" t="s">
        <v>280</v>
      </c>
      <c r="B50" s="1457">
        <f>$H$5*C$15</f>
        <v>5.584912575300171E-4</v>
      </c>
      <c r="C50" s="1449"/>
      <c r="D50" s="1442">
        <f>$C$9</f>
        <v>1</v>
      </c>
      <c r="E50" s="1442">
        <f>C50*D50</f>
        <v>0</v>
      </c>
      <c r="F50" s="1432">
        <f>B50*E50</f>
        <v>0</v>
      </c>
    </row>
    <row r="51" spans="1:6" x14ac:dyDescent="0.2">
      <c r="A51" s="80" t="s">
        <v>281</v>
      </c>
      <c r="B51" s="1458">
        <f>$H$5*C$16</f>
        <v>1.7481466018228944E-3</v>
      </c>
      <c r="C51" s="1450">
        <v>1</v>
      </c>
      <c r="D51" s="1444">
        <f>$C$9</f>
        <v>1</v>
      </c>
      <c r="E51" s="1444">
        <f>C51*D51</f>
        <v>1</v>
      </c>
      <c r="F51" s="1436">
        <f>B51*E51</f>
        <v>1.7481466018228944E-3</v>
      </c>
    </row>
    <row r="52" spans="1:6" x14ac:dyDescent="0.2">
      <c r="A52" s="80" t="s">
        <v>282</v>
      </c>
      <c r="B52" s="1458">
        <f>$H$5*C$17</f>
        <v>4.2822593907389092E-3</v>
      </c>
      <c r="C52" s="1450">
        <v>2</v>
      </c>
      <c r="D52" s="1444">
        <f>$C$9</f>
        <v>1</v>
      </c>
      <c r="E52" s="1444">
        <f>C52*D52</f>
        <v>2</v>
      </c>
      <c r="F52" s="1436">
        <f>B52*E52</f>
        <v>8.5645187814778184E-3</v>
      </c>
    </row>
    <row r="53" spans="1:6" ht="13.5" thickBot="1" x14ac:dyDescent="0.25">
      <c r="A53" s="1445" t="s">
        <v>283</v>
      </c>
      <c r="B53" s="1459">
        <f>$H$5*C$18</f>
        <v>9.680232558139535E-3</v>
      </c>
      <c r="C53" s="1451"/>
      <c r="D53" s="1447">
        <f>$C$9</f>
        <v>1</v>
      </c>
      <c r="E53" s="1447">
        <f>C53*D53</f>
        <v>0</v>
      </c>
      <c r="F53" s="1440">
        <f>B53*E53</f>
        <v>0</v>
      </c>
    </row>
    <row r="54" spans="1:6" ht="13.5" thickBot="1" x14ac:dyDescent="0.25">
      <c r="A54" s="74" t="s">
        <v>284</v>
      </c>
      <c r="B54" s="1460"/>
      <c r="C54" s="1460">
        <f>SUM(C50:C53)</f>
        <v>3</v>
      </c>
      <c r="D54" s="1460"/>
      <c r="E54" s="1460">
        <f>SUM(E50:E53)</f>
        <v>3</v>
      </c>
      <c r="F54" s="1461">
        <f>SUM(F50:F53)</f>
        <v>1.0312665383300713E-2</v>
      </c>
    </row>
    <row r="55" spans="1:6" ht="13.5" thickBot="1" x14ac:dyDescent="0.25">
      <c r="A55" s="66"/>
      <c r="B55" s="1448"/>
      <c r="C55" s="1448"/>
      <c r="D55" s="1448"/>
      <c r="E55" s="1448"/>
      <c r="F55" s="1448"/>
    </row>
    <row r="56" spans="1:6" ht="39" thickBot="1" x14ac:dyDescent="0.25">
      <c r="A56" s="1453" t="s">
        <v>410</v>
      </c>
      <c r="B56" s="499" t="s">
        <v>894</v>
      </c>
      <c r="C56" s="1455" t="s">
        <v>278</v>
      </c>
      <c r="D56" s="505" t="s">
        <v>259</v>
      </c>
      <c r="E56" s="505" t="s">
        <v>279</v>
      </c>
      <c r="F56" s="1456" t="s">
        <v>897</v>
      </c>
    </row>
    <row r="57" spans="1:6" x14ac:dyDescent="0.2">
      <c r="A57" s="236" t="s">
        <v>280</v>
      </c>
      <c r="B57" s="1457">
        <f>$H$5*C$15</f>
        <v>5.584912575300171E-4</v>
      </c>
      <c r="C57" s="1449"/>
      <c r="D57" s="1442">
        <f>$C$10</f>
        <v>1</v>
      </c>
      <c r="E57" s="1442">
        <f>C57*D57</f>
        <v>0</v>
      </c>
      <c r="F57" s="1432">
        <f>B57*E57</f>
        <v>0</v>
      </c>
    </row>
    <row r="58" spans="1:6" x14ac:dyDescent="0.2">
      <c r="A58" s="80" t="s">
        <v>281</v>
      </c>
      <c r="B58" s="1458">
        <f>$H$5*C$16</f>
        <v>1.7481466018228944E-3</v>
      </c>
      <c r="C58" s="1450">
        <v>1</v>
      </c>
      <c r="D58" s="1444">
        <f>$C$10</f>
        <v>1</v>
      </c>
      <c r="E58" s="1444">
        <f>C58*D58</f>
        <v>1</v>
      </c>
      <c r="F58" s="1436">
        <f>B58*E58</f>
        <v>1.7481466018228944E-3</v>
      </c>
    </row>
    <row r="59" spans="1:6" x14ac:dyDescent="0.2">
      <c r="A59" s="80" t="s">
        <v>282</v>
      </c>
      <c r="B59" s="1458">
        <f>$H$5*C$17</f>
        <v>4.2822593907389092E-3</v>
      </c>
      <c r="C59" s="1450">
        <v>3</v>
      </c>
      <c r="D59" s="1444">
        <f>$C$10</f>
        <v>1</v>
      </c>
      <c r="E59" s="1444">
        <f>C59*D59</f>
        <v>3</v>
      </c>
      <c r="F59" s="1436">
        <f>B59*E59</f>
        <v>1.2846778172216727E-2</v>
      </c>
    </row>
    <row r="60" spans="1:6" ht="13.5" thickBot="1" x14ac:dyDescent="0.25">
      <c r="A60" s="1445" t="s">
        <v>283</v>
      </c>
      <c r="B60" s="1459">
        <f>$H$5*C$18</f>
        <v>9.680232558139535E-3</v>
      </c>
      <c r="C60" s="1451"/>
      <c r="D60" s="1447">
        <f>$C$10</f>
        <v>1</v>
      </c>
      <c r="E60" s="1447">
        <f>C60*D60</f>
        <v>0</v>
      </c>
      <c r="F60" s="1440">
        <f>B60*E60</f>
        <v>0</v>
      </c>
    </row>
    <row r="61" spans="1:6" ht="13.5" thickBot="1" x14ac:dyDescent="0.25">
      <c r="A61" s="74" t="s">
        <v>284</v>
      </c>
      <c r="B61" s="1460"/>
      <c r="C61" s="1460">
        <f>SUM(C57:C60)</f>
        <v>4</v>
      </c>
      <c r="D61" s="1460"/>
      <c r="E61" s="1460">
        <f>SUM(E57:E60)</f>
        <v>4</v>
      </c>
      <c r="F61" s="1461">
        <f>SUM(F57:F60)</f>
        <v>1.4594924774039621E-2</v>
      </c>
    </row>
    <row r="62" spans="1:6" x14ac:dyDescent="0.2">
      <c r="A62" s="1"/>
      <c r="B62" s="8"/>
      <c r="C62" s="8"/>
      <c r="D62" s="8"/>
      <c r="E62" s="8"/>
      <c r="F62" s="1463"/>
    </row>
    <row r="63" spans="1:6" ht="13.5" thickBot="1" x14ac:dyDescent="0.25">
      <c r="A63" s="674" t="s">
        <v>286</v>
      </c>
      <c r="B63" s="66"/>
      <c r="C63" s="66"/>
      <c r="D63" s="66"/>
      <c r="E63" s="66"/>
      <c r="F63" s="66"/>
    </row>
    <row r="64" spans="1:6" ht="39" thickBot="1" x14ac:dyDescent="0.25">
      <c r="A64" s="1453" t="s">
        <v>287</v>
      </c>
      <c r="B64" s="499" t="s">
        <v>894</v>
      </c>
      <c r="C64" s="1455" t="s">
        <v>278</v>
      </c>
      <c r="D64" s="505" t="s">
        <v>259</v>
      </c>
      <c r="E64" s="505" t="s">
        <v>279</v>
      </c>
      <c r="F64" s="1456" t="s">
        <v>897</v>
      </c>
    </row>
    <row r="65" spans="1:6" x14ac:dyDescent="0.2">
      <c r="A65" s="236" t="s">
        <v>280</v>
      </c>
      <c r="B65" s="1457">
        <f>$H$5*C$15</f>
        <v>5.584912575300171E-4</v>
      </c>
      <c r="C65" s="1449"/>
      <c r="D65" s="1442">
        <f>$C$11</f>
        <v>1.9</v>
      </c>
      <c r="E65" s="1442">
        <f>C65*D65</f>
        <v>0</v>
      </c>
      <c r="F65" s="1432">
        <f>B65*E65</f>
        <v>0</v>
      </c>
    </row>
    <row r="66" spans="1:6" x14ac:dyDescent="0.2">
      <c r="A66" s="80" t="s">
        <v>281</v>
      </c>
      <c r="B66" s="1458">
        <f>$H$5*C$16</f>
        <v>1.7481466018228944E-3</v>
      </c>
      <c r="C66" s="1450">
        <v>4</v>
      </c>
      <c r="D66" s="1444">
        <f>$C$11</f>
        <v>1.9</v>
      </c>
      <c r="E66" s="1444">
        <f>C66*D66</f>
        <v>7.6</v>
      </c>
      <c r="F66" s="1436">
        <f>B66*E66</f>
        <v>1.3285914173853997E-2</v>
      </c>
    </row>
    <row r="67" spans="1:6" x14ac:dyDescent="0.2">
      <c r="A67" s="80" t="s">
        <v>282</v>
      </c>
      <c r="B67" s="1458">
        <f>$H$5*C$17</f>
        <v>4.2822593907389092E-3</v>
      </c>
      <c r="C67" s="1450">
        <v>2</v>
      </c>
      <c r="D67" s="1444">
        <f>$C$11</f>
        <v>1.9</v>
      </c>
      <c r="E67" s="1444">
        <f>C67*D67</f>
        <v>3.8</v>
      </c>
      <c r="F67" s="1436">
        <f>B67*E67</f>
        <v>1.6272585684807855E-2</v>
      </c>
    </row>
    <row r="68" spans="1:6" ht="13.5" thickBot="1" x14ac:dyDescent="0.25">
      <c r="A68" s="1445" t="s">
        <v>283</v>
      </c>
      <c r="B68" s="1459">
        <f>$H$5*C$18</f>
        <v>9.680232558139535E-3</v>
      </c>
      <c r="C68" s="1451"/>
      <c r="D68" s="1447">
        <f>$C$11</f>
        <v>1.9</v>
      </c>
      <c r="E68" s="1447">
        <f>C68*D68</f>
        <v>0</v>
      </c>
      <c r="F68" s="1440">
        <f>B68*E68</f>
        <v>0</v>
      </c>
    </row>
    <row r="69" spans="1:6" ht="13.5" thickBot="1" x14ac:dyDescent="0.25">
      <c r="A69" s="74" t="s">
        <v>284</v>
      </c>
      <c r="B69" s="1460"/>
      <c r="C69" s="1460">
        <f>SUM(C65:C68)</f>
        <v>6</v>
      </c>
      <c r="D69" s="1460"/>
      <c r="E69" s="1460">
        <f>SUM(E65:E68)</f>
        <v>11.399999999999999</v>
      </c>
      <c r="F69" s="1461">
        <f>SUM(F65:F68)</f>
        <v>2.9558499858661852E-2</v>
      </c>
    </row>
    <row r="70" spans="1:6" x14ac:dyDescent="0.2">
      <c r="A70" s="66"/>
      <c r="B70" s="66"/>
      <c r="C70" s="66"/>
      <c r="D70" s="66"/>
      <c r="E70" s="66"/>
      <c r="F70" s="66"/>
    </row>
    <row r="71" spans="1:6" x14ac:dyDescent="0.2">
      <c r="A71" s="674" t="s">
        <v>288</v>
      </c>
      <c r="B71" s="66"/>
      <c r="C71" s="66"/>
      <c r="D71" s="66"/>
      <c r="E71" s="66"/>
      <c r="F71" s="66"/>
    </row>
    <row r="72" spans="1:6" x14ac:dyDescent="0.2">
      <c r="A72" s="66"/>
      <c r="B72" s="66"/>
      <c r="C72" s="66"/>
      <c r="D72" s="66"/>
      <c r="E72" s="66"/>
      <c r="F72" s="66"/>
    </row>
    <row r="73" spans="1:6" x14ac:dyDescent="0.2">
      <c r="A73" s="800" t="s">
        <v>289</v>
      </c>
      <c r="B73" s="801"/>
      <c r="C73" s="801"/>
      <c r="D73" s="1399">
        <f>H4</f>
        <v>1.7000000000000001E-2</v>
      </c>
      <c r="E73" s="66"/>
      <c r="F73" s="66"/>
    </row>
    <row r="74" spans="1:6" x14ac:dyDescent="0.2">
      <c r="A74" s="1464" t="s">
        <v>262</v>
      </c>
      <c r="B74" s="1465">
        <f>F26</f>
        <v>5.8029310629986999E-3</v>
      </c>
      <c r="C74" s="1465"/>
      <c r="D74" s="1452"/>
      <c r="E74" s="66"/>
      <c r="F74" s="66"/>
    </row>
    <row r="75" spans="1:6" x14ac:dyDescent="0.2">
      <c r="A75" s="1466" t="s">
        <v>263</v>
      </c>
      <c r="B75" s="1467">
        <f>F33</f>
        <v>7.7785525943846979E-3</v>
      </c>
      <c r="C75" s="1467"/>
      <c r="D75" s="1384"/>
      <c r="E75" s="66"/>
      <c r="F75" s="66"/>
    </row>
    <row r="76" spans="1:6" x14ac:dyDescent="0.2">
      <c r="A76" s="1466" t="s">
        <v>264</v>
      </c>
      <c r="B76" s="1467">
        <f>F40</f>
        <v>1.5557105188769396E-2</v>
      </c>
      <c r="C76" s="1467"/>
      <c r="D76" s="1384"/>
      <c r="E76" s="66"/>
      <c r="F76" s="66"/>
    </row>
    <row r="77" spans="1:6" x14ac:dyDescent="0.2">
      <c r="A77" s="1466" t="s">
        <v>265</v>
      </c>
      <c r="B77" s="1467">
        <f>F47</f>
        <v>6.5888972500918203E-3</v>
      </c>
      <c r="C77" s="1467"/>
      <c r="D77" s="1384"/>
      <c r="E77" s="66"/>
      <c r="F77" s="66"/>
    </row>
    <row r="78" spans="1:6" x14ac:dyDescent="0.2">
      <c r="A78" s="1466" t="s">
        <v>266</v>
      </c>
      <c r="B78" s="1467">
        <f>F54</f>
        <v>1.0312665383300713E-2</v>
      </c>
      <c r="C78" s="1467"/>
      <c r="D78" s="1384"/>
      <c r="E78" s="66"/>
      <c r="F78" s="66"/>
    </row>
    <row r="79" spans="1:6" x14ac:dyDescent="0.2">
      <c r="A79" s="1466" t="s">
        <v>267</v>
      </c>
      <c r="B79" s="1467">
        <f>F61</f>
        <v>1.4594924774039621E-2</v>
      </c>
      <c r="C79" s="1467"/>
      <c r="D79" s="1384"/>
      <c r="E79" s="66"/>
      <c r="F79" s="66"/>
    </row>
    <row r="80" spans="1:6" x14ac:dyDescent="0.2">
      <c r="A80" s="1466" t="s">
        <v>290</v>
      </c>
      <c r="B80" s="1467"/>
      <c r="C80" s="1467">
        <f>SUM(B74:B79)</f>
        <v>6.0635076253584941E-2</v>
      </c>
      <c r="D80" s="1384"/>
      <c r="E80" s="66"/>
      <c r="F80" s="66"/>
    </row>
    <row r="81" spans="1:6" x14ac:dyDescent="0.2">
      <c r="A81" s="1466" t="s">
        <v>291</v>
      </c>
      <c r="B81" s="1467"/>
      <c r="C81" s="1467">
        <f>F69</f>
        <v>2.9558499858661852E-2</v>
      </c>
      <c r="D81" s="1384"/>
      <c r="E81" s="66"/>
      <c r="F81" s="66"/>
    </row>
    <row r="82" spans="1:6" x14ac:dyDescent="0.2">
      <c r="A82" s="802" t="s">
        <v>292</v>
      </c>
      <c r="B82" s="803"/>
      <c r="C82" s="803"/>
      <c r="D82" s="804">
        <f>C80+C81</f>
        <v>9.0193576112246793E-2</v>
      </c>
      <c r="E82" s="66"/>
      <c r="F82" s="66"/>
    </row>
    <row r="83" spans="1:6" x14ac:dyDescent="0.2">
      <c r="A83" s="800" t="s">
        <v>898</v>
      </c>
      <c r="B83" s="801"/>
      <c r="C83" s="801"/>
      <c r="D83" s="805">
        <f>'19 nVK - CAPM'!B14</f>
        <v>1.4999999999999999E-2</v>
      </c>
      <c r="E83" s="66"/>
      <c r="F83" s="66"/>
    </row>
    <row r="84" spans="1:6" x14ac:dyDescent="0.2">
      <c r="A84" s="786" t="s">
        <v>293</v>
      </c>
      <c r="B84" s="1468"/>
      <c r="C84" s="1468"/>
      <c r="D84" s="1469">
        <f>SUM(D73:D83)</f>
        <v>0.12219357611224679</v>
      </c>
      <c r="E84" s="66"/>
      <c r="F84" s="66"/>
    </row>
  </sheetData>
  <mergeCells count="1">
    <mergeCell ref="G1:H1"/>
  </mergeCells>
  <phoneticPr fontId="0" type="noConversion"/>
  <hyperlinks>
    <hyperlink ref="G1" location="Obsah!A1" display="Skok na obsah" xr:uid="{00000000-0004-0000-1400-000000000000}"/>
  </hyperlinks>
  <pageMargins left="0.39370078740157483" right="0.39370078740157483" top="0.98425196850393704" bottom="0.98425196850393704" header="0.51181102362204722" footer="0.51181102362204722"/>
  <pageSetup paperSize="9" scale="90" orientation="portrait" r:id="rId1"/>
  <headerFooter alignWithMargins="0">
    <oddHeader>&amp;LMařík, M. a kol.: Metody oceňování podniku - 1. díl, Ekopress 2024&amp;RPříklad UNIPO, a.s.</oddHeader>
    <oddFooter>&amp;C&amp;A&amp;R&amp;"Arial CE,kurzíva"© M. Mařík, P. Maříková</oddFooter>
  </headerFooter>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64"/>
  <sheetViews>
    <sheetView workbookViewId="0"/>
  </sheetViews>
  <sheetFormatPr defaultRowHeight="12.75" x14ac:dyDescent="0.2"/>
  <cols>
    <col min="1" max="1" width="34" customWidth="1"/>
    <col min="2" max="2" width="11.42578125" bestFit="1" customWidth="1"/>
    <col min="7" max="7" width="10.140625" bestFit="1" customWidth="1"/>
  </cols>
  <sheetData>
    <row r="1" spans="1:7" ht="15.75" x14ac:dyDescent="0.25">
      <c r="A1" s="785" t="s">
        <v>492</v>
      </c>
      <c r="G1" s="926" t="s">
        <v>557</v>
      </c>
    </row>
    <row r="2" spans="1:7" ht="9" customHeight="1" x14ac:dyDescent="0.2"/>
    <row r="3" spans="1:7" ht="15.75" x14ac:dyDescent="0.25">
      <c r="A3" s="467" t="s">
        <v>382</v>
      </c>
    </row>
    <row r="4" spans="1:7" x14ac:dyDescent="0.2">
      <c r="A4" s="465" t="s">
        <v>384</v>
      </c>
    </row>
    <row r="5" spans="1:7" ht="8.25" customHeight="1" x14ac:dyDescent="0.2">
      <c r="B5" s="466"/>
    </row>
    <row r="6" spans="1:7" x14ac:dyDescent="0.2">
      <c r="A6" s="756" t="s">
        <v>369</v>
      </c>
      <c r="B6" s="806">
        <f>'18 Plán'!B122+'18 Plán'!B129</f>
        <v>347973.54405488214</v>
      </c>
      <c r="C6" s="242" t="s">
        <v>224</v>
      </c>
    </row>
    <row r="7" spans="1:7" x14ac:dyDescent="0.2">
      <c r="A7" s="212" t="s">
        <v>370</v>
      </c>
      <c r="B7" s="12">
        <f>'18 Plán'!B131</f>
        <v>12770</v>
      </c>
      <c r="C7" s="243" t="s">
        <v>224</v>
      </c>
    </row>
    <row r="8" spans="1:7" x14ac:dyDescent="0.2">
      <c r="A8" s="212" t="s">
        <v>43</v>
      </c>
      <c r="B8" s="12">
        <f>'18 Plán'!B132</f>
        <v>120882</v>
      </c>
      <c r="C8" s="243" t="s">
        <v>224</v>
      </c>
    </row>
    <row r="9" spans="1:7" x14ac:dyDescent="0.2">
      <c r="A9" s="212" t="s">
        <v>371</v>
      </c>
      <c r="B9" s="12">
        <f>'18 Plán'!B134</f>
        <v>36494</v>
      </c>
      <c r="C9" s="243" t="s">
        <v>224</v>
      </c>
    </row>
    <row r="10" spans="1:7" x14ac:dyDescent="0.2">
      <c r="A10" s="87" t="s">
        <v>372</v>
      </c>
      <c r="B10" s="92">
        <f>SUM(B6:B9)</f>
        <v>518119.54405488214</v>
      </c>
      <c r="C10" s="79" t="s">
        <v>224</v>
      </c>
    </row>
    <row r="12" spans="1:7" x14ac:dyDescent="0.2">
      <c r="A12" s="465" t="s">
        <v>411</v>
      </c>
    </row>
    <row r="13" spans="1:7" ht="6" customHeight="1" x14ac:dyDescent="0.2"/>
    <row r="14" spans="1:7" x14ac:dyDescent="0.2">
      <c r="A14" s="1" t="s">
        <v>28</v>
      </c>
    </row>
    <row r="15" spans="1:7" x14ac:dyDescent="0.2">
      <c r="A15" s="756" t="s">
        <v>385</v>
      </c>
      <c r="B15" s="806">
        <f>'18 Plán'!B123</f>
        <v>150000</v>
      </c>
      <c r="C15" s="242" t="s">
        <v>379</v>
      </c>
    </row>
    <row r="16" spans="1:7" x14ac:dyDescent="0.2">
      <c r="A16" s="212" t="s">
        <v>375</v>
      </c>
      <c r="B16" s="12">
        <v>1000</v>
      </c>
      <c r="C16" s="243" t="s">
        <v>376</v>
      </c>
    </row>
    <row r="17" spans="1:3" x14ac:dyDescent="0.2">
      <c r="A17" s="134" t="s">
        <v>412</v>
      </c>
      <c r="B17" s="469">
        <v>3559</v>
      </c>
      <c r="C17" s="702" t="s">
        <v>376</v>
      </c>
    </row>
    <row r="18" spans="1:3" ht="9" customHeight="1" x14ac:dyDescent="0.2"/>
    <row r="19" spans="1:3" x14ac:dyDescent="0.2">
      <c r="A19" s="1" t="s">
        <v>370</v>
      </c>
    </row>
    <row r="20" spans="1:3" x14ac:dyDescent="0.2">
      <c r="A20" s="756" t="s">
        <v>389</v>
      </c>
      <c r="B20" s="434">
        <v>5</v>
      </c>
      <c r="C20" s="242" t="s">
        <v>374</v>
      </c>
    </row>
    <row r="21" spans="1:3" x14ac:dyDescent="0.2">
      <c r="A21" s="212" t="s">
        <v>378</v>
      </c>
      <c r="B21" s="12">
        <f>B7</f>
        <v>12770</v>
      </c>
      <c r="C21" s="243" t="s">
        <v>379</v>
      </c>
    </row>
    <row r="22" spans="1:3" x14ac:dyDescent="0.2">
      <c r="A22" s="212" t="s">
        <v>375</v>
      </c>
      <c r="B22" s="12">
        <v>1000</v>
      </c>
      <c r="C22" s="243" t="s">
        <v>376</v>
      </c>
    </row>
    <row r="23" spans="1:3" x14ac:dyDescent="0.2">
      <c r="A23" s="212" t="s">
        <v>606</v>
      </c>
      <c r="B23" s="12">
        <v>980</v>
      </c>
      <c r="C23" s="243" t="s">
        <v>376</v>
      </c>
    </row>
    <row r="24" spans="1:3" x14ac:dyDescent="0.2">
      <c r="A24" s="134" t="s">
        <v>377</v>
      </c>
      <c r="B24" s="808">
        <f>'18 Plán'!G3</f>
        <v>0.05</v>
      </c>
      <c r="C24" s="702"/>
    </row>
    <row r="25" spans="1:3" ht="9" customHeight="1" x14ac:dyDescent="0.2"/>
    <row r="26" spans="1:3" x14ac:dyDescent="0.2">
      <c r="A26" s="1" t="s">
        <v>43</v>
      </c>
    </row>
    <row r="27" spans="1:3" x14ac:dyDescent="0.2">
      <c r="A27" s="756" t="s">
        <v>380</v>
      </c>
      <c r="B27" s="1007">
        <f>'18 Plán'!G4</f>
        <v>5.5E-2</v>
      </c>
      <c r="C27" s="242"/>
    </row>
    <row r="28" spans="1:3" x14ac:dyDescent="0.2">
      <c r="A28" s="134" t="s">
        <v>373</v>
      </c>
      <c r="B28" s="469">
        <v>8</v>
      </c>
      <c r="C28" s="702" t="s">
        <v>374</v>
      </c>
    </row>
    <row r="29" spans="1:3" ht="8.25" customHeight="1" x14ac:dyDescent="0.2">
      <c r="B29" s="12"/>
    </row>
    <row r="30" spans="1:3" x14ac:dyDescent="0.2">
      <c r="A30" s="1" t="s">
        <v>371</v>
      </c>
    </row>
    <row r="31" spans="1:3" x14ac:dyDescent="0.2">
      <c r="A31" s="756" t="s">
        <v>380</v>
      </c>
      <c r="B31" s="1007">
        <f>'18 Plán'!G5</f>
        <v>0.04</v>
      </c>
      <c r="C31" s="242"/>
    </row>
    <row r="32" spans="1:3" x14ac:dyDescent="0.2">
      <c r="A32" s="134" t="s">
        <v>373</v>
      </c>
      <c r="B32" s="244">
        <v>1</v>
      </c>
      <c r="C32" s="702" t="s">
        <v>381</v>
      </c>
    </row>
    <row r="34" spans="1:7" ht="15.75" x14ac:dyDescent="0.25">
      <c r="A34" s="467" t="s">
        <v>383</v>
      </c>
    </row>
    <row r="35" spans="1:7" ht="7.5" customHeight="1" x14ac:dyDescent="0.2"/>
    <row r="36" spans="1:7" x14ac:dyDescent="0.2">
      <c r="A36" s="465" t="s">
        <v>777</v>
      </c>
    </row>
    <row r="37" spans="1:7" x14ac:dyDescent="0.2">
      <c r="A37" s="738" t="s">
        <v>493</v>
      </c>
      <c r="B37" s="771" t="s">
        <v>224</v>
      </c>
      <c r="C37" s="812" t="s">
        <v>388</v>
      </c>
    </row>
    <row r="38" spans="1:7" x14ac:dyDescent="0.2">
      <c r="A38" s="87" t="s">
        <v>28</v>
      </c>
      <c r="B38" s="88">
        <f>B15*B17/1000</f>
        <v>533850</v>
      </c>
      <c r="C38" s="158">
        <f t="shared" ref="C38:C43" si="0">B38/$B$43</f>
        <v>0.75858917334029041</v>
      </c>
    </row>
    <row r="39" spans="1:7" x14ac:dyDescent="0.2">
      <c r="A39" s="212" t="s">
        <v>370</v>
      </c>
      <c r="B39" s="495">
        <f>B21*B23/1000</f>
        <v>12514.6</v>
      </c>
      <c r="C39" s="159">
        <f t="shared" si="0"/>
        <v>1.7782972873811743E-2</v>
      </c>
    </row>
    <row r="40" spans="1:7" x14ac:dyDescent="0.2">
      <c r="A40" s="212" t="s">
        <v>43</v>
      </c>
      <c r="B40" s="495">
        <f>B8</f>
        <v>120882</v>
      </c>
      <c r="C40" s="159">
        <f t="shared" si="0"/>
        <v>0.17177067800266177</v>
      </c>
    </row>
    <row r="41" spans="1:7" x14ac:dyDescent="0.2">
      <c r="A41" s="212" t="s">
        <v>371</v>
      </c>
      <c r="B41" s="495">
        <f>B9</f>
        <v>36494</v>
      </c>
      <c r="C41" s="159">
        <f t="shared" si="0"/>
        <v>5.1857175783236044E-2</v>
      </c>
    </row>
    <row r="42" spans="1:7" x14ac:dyDescent="0.2">
      <c r="A42" s="811" t="s">
        <v>386</v>
      </c>
      <c r="B42" s="717">
        <f>SUM(B39:B41)</f>
        <v>169890.6</v>
      </c>
      <c r="C42" s="810">
        <f t="shared" si="0"/>
        <v>0.24141082665970959</v>
      </c>
    </row>
    <row r="43" spans="1:7" x14ac:dyDescent="0.2">
      <c r="A43" s="87" t="s">
        <v>387</v>
      </c>
      <c r="B43" s="88">
        <f>B38+B42</f>
        <v>703740.6</v>
      </c>
      <c r="C43" s="158">
        <f t="shared" si="0"/>
        <v>1</v>
      </c>
    </row>
    <row r="44" spans="1:7" ht="9" customHeight="1" x14ac:dyDescent="0.2"/>
    <row r="45" spans="1:7" x14ac:dyDescent="0.2">
      <c r="A45" s="465" t="s">
        <v>331</v>
      </c>
    </row>
    <row r="46" spans="1:7" ht="7.5" customHeight="1" x14ac:dyDescent="0.2"/>
    <row r="47" spans="1:7" x14ac:dyDescent="0.2">
      <c r="A47" s="77" t="s">
        <v>390</v>
      </c>
      <c r="B47" s="152">
        <f>-B23</f>
        <v>-980</v>
      </c>
      <c r="C47" s="77">
        <f>B24*B22</f>
        <v>50</v>
      </c>
      <c r="D47" s="77">
        <f>C47</f>
        <v>50</v>
      </c>
      <c r="E47" s="77">
        <f>D47</f>
        <v>50</v>
      </c>
      <c r="F47" s="77">
        <f>E47</f>
        <v>50</v>
      </c>
      <c r="G47" s="76">
        <f>F47+B16</f>
        <v>1050</v>
      </c>
    </row>
    <row r="48" spans="1:7" x14ac:dyDescent="0.2">
      <c r="B48" s="21"/>
      <c r="G48" s="12"/>
    </row>
    <row r="49" spans="1:7" ht="25.5" x14ac:dyDescent="0.2">
      <c r="A49" s="735" t="s">
        <v>493</v>
      </c>
      <c r="B49" s="816" t="s">
        <v>392</v>
      </c>
      <c r="C49" s="737" t="s">
        <v>393</v>
      </c>
      <c r="D49" s="817" t="s">
        <v>394</v>
      </c>
      <c r="G49" s="12"/>
    </row>
    <row r="50" spans="1:7" x14ac:dyDescent="0.2">
      <c r="A50" s="814" t="s">
        <v>391</v>
      </c>
      <c r="B50" s="815">
        <f>IRR(B47:G47,0.1)</f>
        <v>5.4679412068096456E-2</v>
      </c>
      <c r="C50" s="495">
        <f>B39</f>
        <v>12514.6</v>
      </c>
      <c r="D50" s="490">
        <f>B50*C50</f>
        <v>684.29097026739987</v>
      </c>
    </row>
    <row r="51" spans="1:7" x14ac:dyDescent="0.2">
      <c r="A51" s="814" t="s">
        <v>43</v>
      </c>
      <c r="B51" s="815">
        <f>B27</f>
        <v>5.5E-2</v>
      </c>
      <c r="C51" s="495">
        <f>B40</f>
        <v>120882</v>
      </c>
      <c r="D51" s="490">
        <f>B51*C51</f>
        <v>6648.51</v>
      </c>
    </row>
    <row r="52" spans="1:7" x14ac:dyDescent="0.2">
      <c r="A52" s="814" t="s">
        <v>371</v>
      </c>
      <c r="B52" s="815">
        <f>B31</f>
        <v>0.04</v>
      </c>
      <c r="C52" s="495">
        <f>B41</f>
        <v>36494</v>
      </c>
      <c r="D52" s="490">
        <f>B52*C52</f>
        <v>1459.76</v>
      </c>
    </row>
    <row r="53" spans="1:7" x14ac:dyDescent="0.2">
      <c r="A53" s="87" t="s">
        <v>284</v>
      </c>
      <c r="B53" s="818"/>
      <c r="C53" s="88">
        <f>SUM(C50:C52)</f>
        <v>169890.6</v>
      </c>
      <c r="D53" s="819">
        <f>SUM(D50:D52)</f>
        <v>8792.5609702673992</v>
      </c>
    </row>
    <row r="54" spans="1:7" x14ac:dyDescent="0.2">
      <c r="A54" s="87" t="s">
        <v>395</v>
      </c>
      <c r="B54" s="157"/>
      <c r="C54" s="92"/>
      <c r="D54" s="820">
        <f>D53/C53</f>
        <v>5.1754252267443866E-2</v>
      </c>
    </row>
    <row r="55" spans="1:7" ht="9" customHeight="1" x14ac:dyDescent="0.2"/>
    <row r="56" spans="1:7" x14ac:dyDescent="0.2">
      <c r="A56" s="465" t="s">
        <v>396</v>
      </c>
    </row>
    <row r="57" spans="1:7" x14ac:dyDescent="0.2">
      <c r="A57" s="89" t="s">
        <v>397</v>
      </c>
      <c r="B57" s="241"/>
      <c r="C57" s="241"/>
      <c r="D57" s="820">
        <f>'19 nVK - CAPM'!B21</f>
        <v>0.11700000000000001</v>
      </c>
    </row>
    <row r="58" spans="1:7" x14ac:dyDescent="0.2">
      <c r="A58" s="437" t="s">
        <v>398</v>
      </c>
      <c r="B58" s="244"/>
      <c r="C58" s="244"/>
      <c r="D58" s="821">
        <f>'20 nVK - Stavebnice'!D84</f>
        <v>0.12219357611224679</v>
      </c>
    </row>
    <row r="59" spans="1:7" ht="9" customHeight="1" x14ac:dyDescent="0.2"/>
    <row r="60" spans="1:7" x14ac:dyDescent="0.2">
      <c r="A60" s="465" t="s">
        <v>399</v>
      </c>
    </row>
    <row r="61" spans="1:7" x14ac:dyDescent="0.2">
      <c r="A61" s="813"/>
      <c r="B61" s="894" t="s">
        <v>259</v>
      </c>
      <c r="C61" s="771" t="s">
        <v>400</v>
      </c>
      <c r="D61" s="812" t="s">
        <v>394</v>
      </c>
    </row>
    <row r="62" spans="1:7" x14ac:dyDescent="0.2">
      <c r="A62" s="212" t="s">
        <v>28</v>
      </c>
      <c r="B62" s="163">
        <f>C38</f>
        <v>0.75858917334029041</v>
      </c>
      <c r="C62" s="897">
        <f>D57</f>
        <v>0.11700000000000001</v>
      </c>
      <c r="D62" s="436">
        <f>B62*C62</f>
        <v>8.8754933280813977E-2</v>
      </c>
    </row>
    <row r="63" spans="1:7" x14ac:dyDescent="0.2">
      <c r="A63" s="212" t="s">
        <v>401</v>
      </c>
      <c r="B63" s="163">
        <f>C42</f>
        <v>0.24141082665970959</v>
      </c>
      <c r="C63" s="897">
        <f>D54*(1-'18 Plán'!F7)</f>
        <v>4.1920944336629531E-2</v>
      </c>
      <c r="D63" s="436">
        <f>B63*C63</f>
        <v>1.0120169826661406E-2</v>
      </c>
    </row>
    <row r="64" spans="1:7" x14ac:dyDescent="0.2">
      <c r="A64" s="786" t="s">
        <v>368</v>
      </c>
      <c r="B64" s="898"/>
      <c r="C64" s="898"/>
      <c r="D64" s="899">
        <f>ROUND(SUM(D62:D63),3)</f>
        <v>9.9000000000000005E-2</v>
      </c>
      <c r="E64" s="163"/>
    </row>
  </sheetData>
  <phoneticPr fontId="0" type="noConversion"/>
  <hyperlinks>
    <hyperlink ref="G1" location="Obsah!A1" display="Skok na obsah" xr:uid="{00000000-0004-0000-1500-000000000000}"/>
  </hyperlinks>
  <pageMargins left="0.78740157480314965" right="0.78740157480314965" top="0.98425196850393704" bottom="0.98425196850393704" header="0.51181102362204722" footer="0.51181102362204722"/>
  <pageSetup paperSize="9" scale="90" orientation="portrait" r:id="rId1"/>
  <headerFooter alignWithMargins="0">
    <oddHeader>&amp;LMařík, M. a kol.: Metody oceňování podniku - 1. díl, Ekopress 2024&amp;RPříklad UNIPO, a.s.</oddHeader>
    <oddFooter>&amp;C&amp;A&amp;R&amp;"Arial CE,kurzíva"© M. Mařík, P. Maříková</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76"/>
  <sheetViews>
    <sheetView workbookViewId="0"/>
  </sheetViews>
  <sheetFormatPr defaultRowHeight="12.75" x14ac:dyDescent="0.2"/>
  <cols>
    <col min="1" max="1" width="38.28515625" customWidth="1"/>
    <col min="2" max="2" width="8.42578125" customWidth="1"/>
    <col min="3" max="3" width="8.85546875" customWidth="1"/>
    <col min="4" max="9" width="8.42578125" customWidth="1"/>
  </cols>
  <sheetData>
    <row r="1" spans="1:10" ht="15.75" x14ac:dyDescent="0.25">
      <c r="A1" s="785" t="s">
        <v>494</v>
      </c>
      <c r="G1" s="926" t="s">
        <v>557</v>
      </c>
    </row>
    <row r="3" spans="1:10" ht="16.5" thickBot="1" x14ac:dyDescent="0.3">
      <c r="A3" s="673" t="s">
        <v>229</v>
      </c>
    </row>
    <row r="4" spans="1:10" ht="13.5" thickBot="1" x14ac:dyDescent="0.25">
      <c r="A4" s="823" t="s">
        <v>234</v>
      </c>
      <c r="B4" s="651">
        <f>'18 Plán'!B10</f>
        <v>2016</v>
      </c>
      <c r="C4" s="827">
        <f>'18 Plán'!C10</f>
        <v>2017</v>
      </c>
      <c r="D4" s="828">
        <f>'18 Plán'!D10</f>
        <v>2018</v>
      </c>
      <c r="E4" s="828">
        <f>'18 Plán'!E10</f>
        <v>2019</v>
      </c>
      <c r="F4" s="828">
        <f>'18 Plán'!F10</f>
        <v>2020</v>
      </c>
      <c r="G4" s="824">
        <f>F4+1</f>
        <v>2021</v>
      </c>
    </row>
    <row r="5" spans="1:10" ht="13.5" thickBot="1" x14ac:dyDescent="0.25">
      <c r="A5" s="674" t="s">
        <v>404</v>
      </c>
      <c r="B5" s="66"/>
      <c r="C5" s="66"/>
      <c r="D5" s="66"/>
      <c r="E5" s="66"/>
      <c r="F5" s="66"/>
    </row>
    <row r="6" spans="1:10" x14ac:dyDescent="0.2">
      <c r="A6" s="176" t="s">
        <v>231</v>
      </c>
      <c r="B6" s="267">
        <f>'16 Generátory'!F74</f>
        <v>0.15</v>
      </c>
      <c r="C6" s="830">
        <f>'16 Generátory'!G74</f>
        <v>0.15</v>
      </c>
      <c r="D6" s="831">
        <f>'16 Generátory'!H74</f>
        <v>0.15</v>
      </c>
      <c r="E6" s="831">
        <f>'16 Generátory'!I74</f>
        <v>0.15</v>
      </c>
      <c r="F6" s="831">
        <f>'16 Generátory'!J74</f>
        <v>0.15</v>
      </c>
      <c r="G6" s="832">
        <f>'16 Generátory'!K74</f>
        <v>0.15</v>
      </c>
    </row>
    <row r="7" spans="1:10" x14ac:dyDescent="0.2">
      <c r="A7" s="138" t="s">
        <v>751</v>
      </c>
      <c r="B7" s="468">
        <f>'18 Plán'!B133-'18 Plán'!B134</f>
        <v>200754</v>
      </c>
      <c r="C7" s="150">
        <f>'18 Plán'!C133-'18 Plán'!C134</f>
        <v>239551.80258082191</v>
      </c>
      <c r="D7" s="148">
        <f>'18 Plán'!D133-'18 Plán'!D134</f>
        <v>259434.60219503002</v>
      </c>
      <c r="E7" s="148">
        <f>'18 Plán'!E133-'18 Plán'!E134</f>
        <v>275367.87807137723</v>
      </c>
      <c r="F7" s="148">
        <f>'18 Plán'!F133-'18 Plán'!F134</f>
        <v>287759.43258458917</v>
      </c>
      <c r="G7" s="151">
        <f>'18 Plán'!G133-'18 Plán'!G134</f>
        <v>297543.25329246518</v>
      </c>
    </row>
    <row r="8" spans="1:10" x14ac:dyDescent="0.2">
      <c r="A8" s="172" t="s">
        <v>232</v>
      </c>
      <c r="B8" s="231">
        <f>IF(B6*B7&gt;'18 Plán'!B115,'18 Plán'!C115,B6*B7)</f>
        <v>30113.1</v>
      </c>
      <c r="C8" s="514">
        <f>IF(C6*C7&gt;'18 Plán'!C115,'18 Plán'!D115,C6*C7)</f>
        <v>35932.770387123288</v>
      </c>
      <c r="D8" s="495">
        <f>IF(D6*D7&gt;'18 Plán'!D115,'18 Plán'!E115,D6*D7)</f>
        <v>38915.190329254503</v>
      </c>
      <c r="E8" s="495">
        <f>IF(E6*E7&gt;'18 Plán'!E115,'18 Plán'!F115,E6*E7)</f>
        <v>41305.18171070658</v>
      </c>
      <c r="F8" s="495">
        <f>IF(F6*F7&gt;'18 Plán'!F115,'18 Plán'!G115,F6*F7)</f>
        <v>43163.914887688377</v>
      </c>
      <c r="G8" s="746">
        <f>IF(G6*G7&gt;'18 Plán'!G115,'18 Plán'!H115,G6*G7)</f>
        <v>44631.487993869778</v>
      </c>
    </row>
    <row r="9" spans="1:10" ht="13.5" thickBot="1" x14ac:dyDescent="0.25">
      <c r="A9" s="75" t="s">
        <v>233</v>
      </c>
      <c r="B9" s="515">
        <f>IF(B8&lt;'18 Plán'!B115,'18 Plán'!B115-'22 DCF'!B8,0)</f>
        <v>20702.444054882224</v>
      </c>
      <c r="C9" s="515">
        <f>IF(C8&lt;'18 Plán'!C115,'18 Plán'!C115-'22 DCF'!C8,0)</f>
        <v>19222.846906694947</v>
      </c>
      <c r="D9" s="496">
        <f>IF(D8&lt;'18 Plán'!D115,'18 Plán'!D115-'22 DCF'!D8,0)</f>
        <v>16877.131890438934</v>
      </c>
      <c r="E9" s="496">
        <f>IF(E8&lt;'18 Plán'!E115,'18 Plán'!E115-'22 DCF'!E8,0)</f>
        <v>17930.673780498582</v>
      </c>
      <c r="F9" s="496">
        <f>IF(F8&lt;'18 Plán'!F115,'18 Plán'!F115-'22 DCF'!F8,0)</f>
        <v>15442.232317504073</v>
      </c>
      <c r="G9" s="833">
        <f>IF(G8&lt;'18 Plán'!G115,'18 Plán'!G115-'22 DCF'!G8,0)</f>
        <v>16231.935960239061</v>
      </c>
    </row>
    <row r="10" spans="1:10" x14ac:dyDescent="0.2">
      <c r="B10" s="66"/>
      <c r="C10" s="12"/>
      <c r="D10" s="12"/>
      <c r="E10" s="12"/>
      <c r="F10" s="12"/>
    </row>
    <row r="11" spans="1:10" ht="13.5" thickBot="1" x14ac:dyDescent="0.25">
      <c r="A11" s="674" t="s">
        <v>780</v>
      </c>
      <c r="B11" s="66"/>
      <c r="C11" s="66"/>
      <c r="D11" s="66"/>
      <c r="E11" s="66"/>
      <c r="F11" s="66"/>
    </row>
    <row r="12" spans="1:10" x14ac:dyDescent="0.2">
      <c r="A12" s="176" t="s">
        <v>309</v>
      </c>
      <c r="B12" s="232">
        <f>'16 Generátory'!B184</f>
        <v>452188</v>
      </c>
      <c r="C12" s="513">
        <f>'16 Generátory'!C184</f>
        <v>487084.79999999999</v>
      </c>
      <c r="D12" s="494">
        <f>'16 Generátory'!D184</f>
        <v>520695.57333333336</v>
      </c>
      <c r="E12" s="494">
        <f>'16 Generátory'!E184</f>
        <v>545802.65333333332</v>
      </c>
      <c r="F12" s="494">
        <f>'16 Generátory'!F184</f>
        <v>585501.70666666678</v>
      </c>
      <c r="G12" s="715">
        <f>'16 Generátory'!G184</f>
        <v>625044.81666666677</v>
      </c>
    </row>
    <row r="13" spans="1:10" x14ac:dyDescent="0.2">
      <c r="A13" s="138" t="s">
        <v>180</v>
      </c>
      <c r="B13" s="468">
        <f>'16 Generátory'!F84</f>
        <v>36723.100000000006</v>
      </c>
      <c r="C13" s="150">
        <f>'16 Generátory'!G84</f>
        <v>40973.947343287669</v>
      </c>
      <c r="D13" s="148">
        <f>'16 Generátory'!H84</f>
        <v>50863.444259832555</v>
      </c>
      <c r="E13" s="148">
        <f>'16 Generátory'!I84</f>
        <v>66456.661242225557</v>
      </c>
      <c r="F13" s="148">
        <f>'16 Generátory'!J84</f>
        <v>69358.5609981257</v>
      </c>
      <c r="G13" s="151">
        <f>'16 Generátory'!K84</f>
        <v>71649.772072062013</v>
      </c>
    </row>
    <row r="14" spans="1:10" ht="13.5" thickBot="1" x14ac:dyDescent="0.25">
      <c r="A14" s="230" t="s">
        <v>230</v>
      </c>
      <c r="B14" s="233">
        <f t="shared" ref="B14:G14" si="0">B12+B13</f>
        <v>488911.1</v>
      </c>
      <c r="C14" s="835">
        <f t="shared" si="0"/>
        <v>528058.74734328769</v>
      </c>
      <c r="D14" s="836">
        <f t="shared" si="0"/>
        <v>571559.01759316586</v>
      </c>
      <c r="E14" s="836">
        <f t="shared" si="0"/>
        <v>612259.31457555888</v>
      </c>
      <c r="F14" s="836">
        <f t="shared" si="0"/>
        <v>654860.26766479248</v>
      </c>
      <c r="G14" s="217">
        <f t="shared" si="0"/>
        <v>696694.58873872878</v>
      </c>
      <c r="H14" s="17"/>
      <c r="I14" s="17"/>
      <c r="J14" s="17"/>
    </row>
    <row r="15" spans="1:10" ht="13.5" thickBot="1" x14ac:dyDescent="0.25">
      <c r="A15" s="1"/>
      <c r="B15" s="17"/>
      <c r="C15" s="17"/>
      <c r="D15" s="17"/>
      <c r="E15" s="17"/>
      <c r="F15" s="17"/>
      <c r="G15" s="12"/>
      <c r="H15" s="12"/>
      <c r="I15" s="12"/>
      <c r="J15" s="12"/>
    </row>
    <row r="16" spans="1:10" ht="13.5" thickBot="1" x14ac:dyDescent="0.25">
      <c r="A16" s="74" t="s">
        <v>778</v>
      </c>
      <c r="B16" s="1207">
        <f>'18 Plán'!B46</f>
        <v>58289.22</v>
      </c>
      <c r="C16" s="1208">
        <f>'18 Plán'!C46</f>
        <v>66941.533941678164</v>
      </c>
      <c r="D16" s="1209">
        <f>'18 Plán'!D46</f>
        <v>72733.461683582194</v>
      </c>
      <c r="E16" s="1209">
        <f>'18 Plán'!E46</f>
        <v>75393.166667462938</v>
      </c>
      <c r="F16" s="1209">
        <f>'18 Plán'!F46</f>
        <v>79725.893111499565</v>
      </c>
      <c r="G16" s="1210">
        <f>'18 Plán'!G46</f>
        <v>84294.956520490217</v>
      </c>
      <c r="H16" s="17"/>
      <c r="I16" s="17"/>
      <c r="J16" s="17"/>
    </row>
    <row r="18" spans="1:10" ht="16.5" thickBot="1" x14ac:dyDescent="0.3">
      <c r="A18" s="673" t="s">
        <v>842</v>
      </c>
    </row>
    <row r="19" spans="1:10" ht="27" customHeight="1" thickBot="1" x14ac:dyDescent="0.3">
      <c r="A19" s="834"/>
      <c r="B19" s="651">
        <f t="shared" ref="B19:G19" si="1">B4</f>
        <v>2016</v>
      </c>
      <c r="C19" s="827">
        <f t="shared" si="1"/>
        <v>2017</v>
      </c>
      <c r="D19" s="828">
        <f t="shared" si="1"/>
        <v>2018</v>
      </c>
      <c r="E19" s="828">
        <f t="shared" si="1"/>
        <v>2019</v>
      </c>
      <c r="F19" s="828">
        <f t="shared" si="1"/>
        <v>2020</v>
      </c>
      <c r="G19" s="829">
        <f t="shared" si="1"/>
        <v>2021</v>
      </c>
      <c r="H19" s="1046" t="s">
        <v>624</v>
      </c>
      <c r="I19" s="1063" t="s">
        <v>625</v>
      </c>
      <c r="J19" s="1061" t="s">
        <v>641</v>
      </c>
    </row>
    <row r="20" spans="1:10" x14ac:dyDescent="0.2">
      <c r="A20" s="176" t="s">
        <v>781</v>
      </c>
      <c r="B20" s="184">
        <f>B16/'16 Generátory'!E193-1</f>
        <v>0.15200025613523938</v>
      </c>
      <c r="C20" s="518">
        <f>C16/B16-1</f>
        <v>0.1484376346377283</v>
      </c>
      <c r="D20" s="177">
        <f>D16/C16-1</f>
        <v>8.6522184372861188E-2</v>
      </c>
      <c r="E20" s="177">
        <f>E16/D16-1</f>
        <v>3.6567831673562479E-2</v>
      </c>
      <c r="F20" s="177">
        <f>F16/E16-1</f>
        <v>5.7468423672227598E-2</v>
      </c>
      <c r="G20" s="1054">
        <f>G16/F16-1</f>
        <v>5.7309654751696026E-2</v>
      </c>
      <c r="H20" s="518">
        <f>'16 Generátory'!C195</f>
        <v>8.0901388672818042E-2</v>
      </c>
      <c r="I20" s="177">
        <f>(G16/B16)^(1/5)-1</f>
        <v>7.6570981530233784E-2</v>
      </c>
      <c r="J20" s="175">
        <f>('16 Generátory'!K193/'16 Generátory'!B193)^(1/9)-1</f>
        <v>7.8493460948530602E-2</v>
      </c>
    </row>
    <row r="21" spans="1:10" x14ac:dyDescent="0.2">
      <c r="A21" s="172" t="s">
        <v>242</v>
      </c>
      <c r="B21" s="186">
        <f>(B14-'16 Generátory'!E199)/B16</f>
        <v>0.86994816537260189</v>
      </c>
      <c r="C21" s="516">
        <f>(C14-B14)/C16</f>
        <v>0.58480355973609044</v>
      </c>
      <c r="D21" s="178">
        <f>(D14-C14)/D16</f>
        <v>0.59807782062017956</v>
      </c>
      <c r="E21" s="178">
        <f>(E14-D14)/E16</f>
        <v>0.53984066171288503</v>
      </c>
      <c r="F21" s="178">
        <f>(F14-E14)/F16</f>
        <v>0.53434275147792476</v>
      </c>
      <c r="G21" s="647">
        <f>(G14-F14)/G16</f>
        <v>0.49628498312075542</v>
      </c>
      <c r="H21" s="516">
        <f>('16 Generátory'!F199-'16 Generátory'!B199)/SUM('16 Generátory'!C193:F193)</f>
        <v>0.51222476274469153</v>
      </c>
      <c r="I21" s="178">
        <f>(G14-B14)/SUM(C16:G16)</f>
        <v>0.54811266537051329</v>
      </c>
      <c r="J21" s="173">
        <f>('16 Generátory'!K199-'16 Generátory'!B199)/SUM('16 Generátory'!C193:K193)</f>
        <v>0.53597970896142244</v>
      </c>
    </row>
    <row r="22" spans="1:10" ht="13.5" thickBot="1" x14ac:dyDescent="0.25">
      <c r="A22" s="75" t="s">
        <v>431</v>
      </c>
      <c r="B22" s="187">
        <f>B16/'16 Generátory'!E199</f>
        <v>0.13301891248908895</v>
      </c>
      <c r="C22" s="517">
        <f>C16/B14</f>
        <v>0.13691964437231671</v>
      </c>
      <c r="D22" s="179">
        <f>D16/C14</f>
        <v>0.13773744313395234</v>
      </c>
      <c r="E22" s="179">
        <f>E16/D14</f>
        <v>0.13190792962193729</v>
      </c>
      <c r="F22" s="179">
        <f>F16/E14</f>
        <v>0.13021589253692048</v>
      </c>
      <c r="G22" s="1055">
        <f>G16/F14</f>
        <v>0.12872205061559608</v>
      </c>
      <c r="H22" s="1056" t="s">
        <v>623</v>
      </c>
      <c r="I22" s="1064" t="s">
        <v>623</v>
      </c>
      <c r="J22" s="1062" t="s">
        <v>623</v>
      </c>
    </row>
    <row r="24" spans="1:10" ht="16.5" thickBot="1" x14ac:dyDescent="0.3">
      <c r="A24" s="673" t="s">
        <v>235</v>
      </c>
    </row>
    <row r="25" spans="1:10" ht="13.5" thickBot="1" x14ac:dyDescent="0.25">
      <c r="A25" s="825"/>
      <c r="B25" s="824"/>
      <c r="C25" s="827">
        <f>C4</f>
        <v>2017</v>
      </c>
      <c r="D25" s="828">
        <f>D4</f>
        <v>2018</v>
      </c>
      <c r="E25" s="828">
        <f>E4</f>
        <v>2019</v>
      </c>
      <c r="F25" s="828">
        <f>F4</f>
        <v>2020</v>
      </c>
      <c r="G25" s="829">
        <f>G4</f>
        <v>2021</v>
      </c>
    </row>
    <row r="26" spans="1:10" x14ac:dyDescent="0.2">
      <c r="A26" s="227" t="s">
        <v>333</v>
      </c>
      <c r="B26" s="228"/>
      <c r="C26" s="716">
        <f>'18 Plán'!C18</f>
        <v>82643.869063800201</v>
      </c>
      <c r="D26" s="717">
        <f>'18 Plán'!D18</f>
        <v>89794.39714022493</v>
      </c>
      <c r="E26" s="717">
        <f>'18 Plán'!E18</f>
        <v>93077.983540077694</v>
      </c>
      <c r="F26" s="717">
        <f>'18 Plán'!F18</f>
        <v>98427.028532715514</v>
      </c>
      <c r="G26" s="718">
        <f>'18 Plán'!G18</f>
        <v>104067.84755616076</v>
      </c>
    </row>
    <row r="27" spans="1:10" x14ac:dyDescent="0.2">
      <c r="A27" s="709" t="s">
        <v>405</v>
      </c>
      <c r="B27" s="710"/>
      <c r="C27" s="150">
        <f>C26*'18 Plán'!C7</f>
        <v>15702.335122122038</v>
      </c>
      <c r="D27" s="148">
        <f>D26*'18 Plán'!D7</f>
        <v>17060.935456642736</v>
      </c>
      <c r="E27" s="148">
        <f>E26*'18 Plán'!E7</f>
        <v>17684.816872614763</v>
      </c>
      <c r="F27" s="148">
        <f>F26*'18 Plán'!F7</f>
        <v>18701.135421215949</v>
      </c>
      <c r="G27" s="151">
        <f>G26*'18 Plán'!G7</f>
        <v>19772.891035670546</v>
      </c>
    </row>
    <row r="28" spans="1:10" x14ac:dyDescent="0.2">
      <c r="A28" s="227" t="s">
        <v>337</v>
      </c>
      <c r="B28" s="228"/>
      <c r="C28" s="716">
        <f>C26-C27</f>
        <v>66941.533941678164</v>
      </c>
      <c r="D28" s="717">
        <f>D26-D27</f>
        <v>72733.461683582194</v>
      </c>
      <c r="E28" s="717">
        <f>E26-E27</f>
        <v>75393.166667462938</v>
      </c>
      <c r="F28" s="717">
        <f>F26-F27</f>
        <v>79725.893111499565</v>
      </c>
      <c r="G28" s="718">
        <f>G26-G27</f>
        <v>84294.956520490217</v>
      </c>
    </row>
    <row r="29" spans="1:10" x14ac:dyDescent="0.2">
      <c r="A29" s="223" t="s">
        <v>168</v>
      </c>
      <c r="B29" s="64"/>
      <c r="C29" s="514">
        <f>'18 Plán'!C15</f>
        <v>45372</v>
      </c>
      <c r="D29" s="495">
        <f>'18 Plán'!D15</f>
        <v>51032.026666666665</v>
      </c>
      <c r="E29" s="495">
        <f>'18 Plán'!E15</f>
        <v>55634.720000000001</v>
      </c>
      <c r="F29" s="495">
        <f>'18 Plán'!F15</f>
        <v>56977.746666666673</v>
      </c>
      <c r="G29" s="746">
        <f>'18 Plán'!G15</f>
        <v>56620.69</v>
      </c>
    </row>
    <row r="30" spans="1:10" x14ac:dyDescent="0.2">
      <c r="A30" s="223" t="s">
        <v>236</v>
      </c>
      <c r="B30" s="64"/>
      <c r="C30" s="514">
        <f>'18 Plán'!C129-'18 Plán'!B129</f>
        <v>0</v>
      </c>
      <c r="D30" s="495">
        <f>'18 Plán'!D129-'18 Plán'!C129</f>
        <v>0</v>
      </c>
      <c r="E30" s="495">
        <f>'18 Plán'!E129-'18 Plán'!D129</f>
        <v>0</v>
      </c>
      <c r="F30" s="495">
        <f>'18 Plán'!F129-'18 Plán'!E129</f>
        <v>0</v>
      </c>
      <c r="G30" s="746">
        <f>'18 Plán'!G129-'18 Plán'!F129</f>
        <v>0</v>
      </c>
    </row>
    <row r="31" spans="1:10" x14ac:dyDescent="0.2">
      <c r="A31" s="223" t="s">
        <v>406</v>
      </c>
      <c r="B31" s="208"/>
      <c r="C31" s="514">
        <f>-(C12-B12+C29)</f>
        <v>-80268.799999999988</v>
      </c>
      <c r="D31" s="495">
        <f>-(D12-C12+D29)</f>
        <v>-84642.800000000047</v>
      </c>
      <c r="E31" s="495">
        <f>-(E12-D12+E29)</f>
        <v>-80741.799999999959</v>
      </c>
      <c r="F31" s="495">
        <f>-(F12-E12+F29)</f>
        <v>-96676.800000000134</v>
      </c>
      <c r="G31" s="746">
        <f>-(G12-F12+G29)</f>
        <v>-96163.799999999988</v>
      </c>
    </row>
    <row r="32" spans="1:10" x14ac:dyDescent="0.2">
      <c r="A32" s="709" t="s">
        <v>244</v>
      </c>
      <c r="B32" s="215"/>
      <c r="C32" s="150">
        <f>-(C13-B13)</f>
        <v>-4250.8473432876635</v>
      </c>
      <c r="D32" s="148">
        <f>-(D13-C13)</f>
        <v>-9889.4969165448856</v>
      </c>
      <c r="E32" s="148">
        <f>-(E13-D13)</f>
        <v>-15593.216982393002</v>
      </c>
      <c r="F32" s="148">
        <f>-(F13-E13)</f>
        <v>-2901.8997559001436</v>
      </c>
      <c r="G32" s="151">
        <f>-(G13-F13)</f>
        <v>-2291.2110739363125</v>
      </c>
    </row>
    <row r="33" spans="1:8" x14ac:dyDescent="0.2">
      <c r="A33" s="851" t="s">
        <v>237</v>
      </c>
      <c r="B33" s="852"/>
      <c r="C33" s="853">
        <f>SUM(C28:C32)</f>
        <v>27793.886598390513</v>
      </c>
      <c r="D33" s="854">
        <f>SUM(D28:D32)</f>
        <v>29233.191433703934</v>
      </c>
      <c r="E33" s="854">
        <f>SUM(E28:E32)</f>
        <v>34692.869685069978</v>
      </c>
      <c r="F33" s="854">
        <f>SUM(F28:F32)</f>
        <v>37124.940022265975</v>
      </c>
      <c r="G33" s="855">
        <f>SUM(G28:G32)</f>
        <v>42460.635446553933</v>
      </c>
    </row>
    <row r="34" spans="1:8" x14ac:dyDescent="0.2">
      <c r="A34" s="223"/>
      <c r="B34" s="64"/>
      <c r="C34" s="645"/>
      <c r="D34" s="212"/>
      <c r="E34" s="212"/>
      <c r="F34" s="212"/>
      <c r="G34" s="646"/>
    </row>
    <row r="35" spans="1:8" x14ac:dyDescent="0.2">
      <c r="A35" s="223" t="s">
        <v>238</v>
      </c>
      <c r="B35" s="1393">
        <f>'21 WACC'!$D$64</f>
        <v>9.9000000000000005E-2</v>
      </c>
      <c r="C35" s="837">
        <f>1/(1+$B$35)^(C4-$B$4)</f>
        <v>0.90991810737033674</v>
      </c>
      <c r="D35" s="838">
        <f>1/(1+$B$35)^(D4-$B$4)</f>
        <v>0.82795096212041563</v>
      </c>
      <c r="E35" s="838">
        <f>1/(1+$B$35)^(E4-$B$4)</f>
        <v>0.75336757244805796</v>
      </c>
      <c r="F35" s="838">
        <f>1/(1+$B$35)^(F4-$B$4)</f>
        <v>0.68550279567612182</v>
      </c>
      <c r="G35" s="839">
        <f>1/(1+$B$35)^(G4-$B$4)</f>
        <v>0.62375140643869142</v>
      </c>
    </row>
    <row r="36" spans="1:8" x14ac:dyDescent="0.2">
      <c r="A36" s="223"/>
      <c r="B36" s="64"/>
      <c r="C36" s="645"/>
      <c r="D36" s="212"/>
      <c r="E36" s="212"/>
      <c r="F36" s="212"/>
      <c r="G36" s="646"/>
    </row>
    <row r="37" spans="1:8" ht="13.5" thickBot="1" x14ac:dyDescent="0.25">
      <c r="A37" s="226" t="s">
        <v>783</v>
      </c>
      <c r="B37" s="234"/>
      <c r="C37" s="835">
        <f>C33*C35</f>
        <v>25290.160690073262</v>
      </c>
      <c r="D37" s="836">
        <f>D33*D35</f>
        <v>24203.648973385465</v>
      </c>
      <c r="E37" s="836">
        <f>E33*E35</f>
        <v>26136.483015897989</v>
      </c>
      <c r="F37" s="836">
        <f>F33*F35</f>
        <v>25449.250174571669</v>
      </c>
      <c r="G37" s="217">
        <f>G33*G35</f>
        <v>26484.881078068571</v>
      </c>
    </row>
    <row r="38" spans="1:8" x14ac:dyDescent="0.2">
      <c r="A38" s="227"/>
      <c r="B38" s="1"/>
      <c r="C38" s="17"/>
      <c r="D38" s="17"/>
      <c r="E38" s="17"/>
      <c r="F38" s="17"/>
      <c r="G38" s="17"/>
    </row>
    <row r="39" spans="1:8" ht="16.5" thickBot="1" x14ac:dyDescent="0.3">
      <c r="A39" s="673" t="s">
        <v>847</v>
      </c>
      <c r="F39" s="17"/>
      <c r="G39" s="17"/>
    </row>
    <row r="40" spans="1:8" ht="13.5" thickBot="1" x14ac:dyDescent="0.25">
      <c r="A40" s="825"/>
      <c r="B40" s="651">
        <f>G19</f>
        <v>2021</v>
      </c>
      <c r="C40" s="827">
        <f>B40+1</f>
        <v>2022</v>
      </c>
      <c r="D40" s="828">
        <f>C40+1</f>
        <v>2023</v>
      </c>
      <c r="E40" s="828">
        <f>D40+1</f>
        <v>2024</v>
      </c>
      <c r="F40" s="829">
        <f>E40+1</f>
        <v>2025</v>
      </c>
      <c r="G40" s="651">
        <f>F40+1</f>
        <v>2026</v>
      </c>
    </row>
    <row r="41" spans="1:8" x14ac:dyDescent="0.2">
      <c r="A41" s="1377" t="s">
        <v>843</v>
      </c>
      <c r="B41" s="236"/>
      <c r="C41" s="1378">
        <v>3.2000000000000001E-2</v>
      </c>
      <c r="D41" s="1379">
        <v>0.03</v>
      </c>
      <c r="E41" s="1379">
        <v>2.8000000000000001E-2</v>
      </c>
      <c r="F41" s="1380">
        <v>2.5000000000000001E-2</v>
      </c>
      <c r="G41" s="1382">
        <v>2.1000000000000001E-2</v>
      </c>
    </row>
    <row r="42" spans="1:8" x14ac:dyDescent="0.2">
      <c r="A42" s="1372" t="s">
        <v>337</v>
      </c>
      <c r="B42" s="1069">
        <f>G28</f>
        <v>84294.956520490217</v>
      </c>
      <c r="C42" s="512">
        <f>B42*(1+C41)</f>
        <v>86992.395129145909</v>
      </c>
      <c r="D42" s="1071">
        <f>C42*(1+D41)</f>
        <v>89602.166983020288</v>
      </c>
      <c r="E42" s="1071">
        <f>D42*(1+E41)</f>
        <v>92111.027658544859</v>
      </c>
      <c r="F42" s="1072">
        <f>E42*(1+F41)</f>
        <v>94413.803350008471</v>
      </c>
      <c r="G42" s="1069">
        <f>F42*(1+G41)</f>
        <v>96396.493220358636</v>
      </c>
    </row>
    <row r="43" spans="1:8" x14ac:dyDescent="0.2">
      <c r="A43" s="1376" t="s">
        <v>871</v>
      </c>
      <c r="B43" s="741">
        <f>G14</f>
        <v>696694.58873872878</v>
      </c>
      <c r="C43" s="750">
        <f>B43*(1+C41)</f>
        <v>718988.81557836814</v>
      </c>
      <c r="D43" s="742">
        <f>C43*(1+D41)</f>
        <v>740558.48004571919</v>
      </c>
      <c r="E43" s="742">
        <f>D43*(1+E41)</f>
        <v>761294.11748699937</v>
      </c>
      <c r="F43" s="751">
        <f>E43*(1+F41)</f>
        <v>780326.47042417433</v>
      </c>
      <c r="G43" s="741">
        <f>F43*(1+G41)</f>
        <v>796713.32630308194</v>
      </c>
      <c r="H43" s="12"/>
    </row>
    <row r="44" spans="1:8" ht="13.5" thickBot="1" x14ac:dyDescent="0.25">
      <c r="A44" s="1381" t="s">
        <v>431</v>
      </c>
      <c r="B44" s="1375">
        <f>G22</f>
        <v>0.12872205061559608</v>
      </c>
      <c r="C44" s="517">
        <f>C42/B43</f>
        <v>0.12486446218368634</v>
      </c>
      <c r="D44" s="179">
        <f>D42/C43</f>
        <v>0.12462247679185749</v>
      </c>
      <c r="E44" s="179">
        <f>E42/D43</f>
        <v>0.12438049140002864</v>
      </c>
      <c r="F44" s="1055">
        <f>F42/E43</f>
        <v>0.12401751331228535</v>
      </c>
      <c r="G44" s="187">
        <f>G42/F43</f>
        <v>0.12353354252862764</v>
      </c>
    </row>
    <row r="45" spans="1:8" ht="13.5" thickBot="1" x14ac:dyDescent="0.25">
      <c r="A45" s="851" t="s">
        <v>237</v>
      </c>
      <c r="B45" s="856"/>
      <c r="C45" s="853">
        <f>C42-(C43-B43)</f>
        <v>64698.168289506546</v>
      </c>
      <c r="D45" s="854">
        <f>D42-(D43-C43)</f>
        <v>68032.502515669243</v>
      </c>
      <c r="E45" s="854">
        <f>E42-(E43-D43)</f>
        <v>71375.390217264678</v>
      </c>
      <c r="F45" s="855">
        <f>F42-(F43-E43)</f>
        <v>75381.45041283351</v>
      </c>
      <c r="G45" s="222">
        <f>G42-(G43-F43)</f>
        <v>80009.637341451031</v>
      </c>
    </row>
    <row r="46" spans="1:8" x14ac:dyDescent="0.2">
      <c r="A46" s="223"/>
      <c r="C46" s="645"/>
      <c r="D46" s="212"/>
      <c r="E46" s="212"/>
      <c r="F46" s="646"/>
    </row>
    <row r="47" spans="1:8" x14ac:dyDescent="0.2">
      <c r="A47" s="223" t="s">
        <v>238</v>
      </c>
      <c r="B47" s="1373">
        <f>'21 WACC'!$D$64</f>
        <v>9.9000000000000005E-2</v>
      </c>
      <c r="C47" s="837">
        <f>1/(1+$B$47)^(C40-$B$4)</f>
        <v>0.56756269921627978</v>
      </c>
      <c r="D47" s="838">
        <f>1/(1+$B$47)^(D40-$B$4)</f>
        <v>0.51643557708487697</v>
      </c>
      <c r="E47" s="838">
        <f>1/(1+$B$47)^(E40-$B$4)</f>
        <v>0.46991408287977882</v>
      </c>
      <c r="F47" s="839">
        <f>1/(1+$B$47)^(F40-$B$4)</f>
        <v>0.42758333292063588</v>
      </c>
    </row>
    <row r="48" spans="1:8" x14ac:dyDescent="0.2">
      <c r="A48" s="223"/>
      <c r="C48" s="645"/>
      <c r="D48" s="212"/>
      <c r="E48" s="212"/>
      <c r="F48" s="646"/>
    </row>
    <row r="49" spans="1:7" ht="13.5" thickBot="1" x14ac:dyDescent="0.25">
      <c r="A49" s="226" t="s">
        <v>783</v>
      </c>
      <c r="B49" s="1374"/>
      <c r="C49" s="835">
        <f>C45*C47</f>
        <v>36720.267028741451</v>
      </c>
      <c r="D49" s="836">
        <f>D45*D47</f>
        <v>35134.404697207989</v>
      </c>
      <c r="E49" s="836">
        <f>E45*E47</f>
        <v>33540.301034132266</v>
      </c>
      <c r="F49" s="217">
        <f>F45*F47</f>
        <v>32231.851807910996</v>
      </c>
    </row>
    <row r="50" spans="1:7" x14ac:dyDescent="0.2">
      <c r="A50" s="1"/>
      <c r="B50" s="1"/>
      <c r="C50" s="1385"/>
      <c r="D50" s="1385"/>
      <c r="E50" s="1385"/>
      <c r="F50" s="1385"/>
      <c r="G50" s="1385"/>
    </row>
    <row r="51" spans="1:7" ht="15.75" x14ac:dyDescent="0.25">
      <c r="A51" s="673" t="s">
        <v>239</v>
      </c>
    </row>
    <row r="52" spans="1:7" x14ac:dyDescent="0.2">
      <c r="A52" s="433" t="s">
        <v>167</v>
      </c>
      <c r="B52" s="434"/>
      <c r="C52" s="1006">
        <f>G41</f>
        <v>2.1000000000000001E-2</v>
      </c>
      <c r="D52" s="242"/>
      <c r="E52" s="61"/>
    </row>
    <row r="53" spans="1:7" x14ac:dyDescent="0.2">
      <c r="A53" s="435" t="s">
        <v>241</v>
      </c>
      <c r="C53" s="1367">
        <f>G44</f>
        <v>0.12353354252862764</v>
      </c>
      <c r="D53" s="243"/>
      <c r="E53" s="67"/>
    </row>
    <row r="54" spans="1:7" x14ac:dyDescent="0.2">
      <c r="A54" s="437" t="s">
        <v>409</v>
      </c>
      <c r="B54" s="244"/>
      <c r="C54" s="704">
        <f>C52/C53</f>
        <v>0.16999431547211938</v>
      </c>
      <c r="D54" s="1371"/>
      <c r="E54" s="61"/>
    </row>
    <row r="55" spans="1:7" x14ac:dyDescent="0.2">
      <c r="G55" s="470"/>
    </row>
    <row r="56" spans="1:7" x14ac:dyDescent="0.2">
      <c r="A56" s="1397" t="s">
        <v>872</v>
      </c>
      <c r="B56" s="434"/>
      <c r="C56" s="1398">
        <f>F43*C52</f>
        <v>16386.855878907663</v>
      </c>
      <c r="D56" s="1396" t="s">
        <v>247</v>
      </c>
      <c r="G56" s="470"/>
    </row>
    <row r="57" spans="1:7" x14ac:dyDescent="0.2">
      <c r="A57" s="1394" t="s">
        <v>844</v>
      </c>
      <c r="B57" s="847"/>
      <c r="C57" s="849">
        <f>G42-C56</f>
        <v>80009.637341450973</v>
      </c>
      <c r="D57" s="1395" t="s">
        <v>247</v>
      </c>
      <c r="E57" s="1086"/>
    </row>
    <row r="58" spans="1:7" x14ac:dyDescent="0.2">
      <c r="A58" s="435" t="s">
        <v>243</v>
      </c>
      <c r="B58" s="243"/>
      <c r="C58" s="12">
        <f>(G42*(1-C52/C53)/(B35-C52))</f>
        <v>1025764.5813006535</v>
      </c>
      <c r="D58" s="243" t="s">
        <v>247</v>
      </c>
      <c r="E58" s="1086"/>
    </row>
    <row r="59" spans="1:7" x14ac:dyDescent="0.2">
      <c r="A59" s="842" t="s">
        <v>495</v>
      </c>
      <c r="B59" s="859"/>
      <c r="C59" s="469">
        <f>C57/(B35-C52)</f>
        <v>1025764.5813006535</v>
      </c>
      <c r="D59" s="702" t="s">
        <v>247</v>
      </c>
      <c r="E59" s="1086"/>
    </row>
    <row r="60" spans="1:7" x14ac:dyDescent="0.2">
      <c r="A60" s="66"/>
      <c r="B60" s="66"/>
      <c r="C60" s="12"/>
      <c r="E60" s="1086"/>
    </row>
    <row r="61" spans="1:7" ht="15.75" x14ac:dyDescent="0.25">
      <c r="A61" s="673" t="s">
        <v>784</v>
      </c>
      <c r="B61" s="66"/>
      <c r="C61" s="12"/>
      <c r="E61" s="1086"/>
    </row>
    <row r="62" spans="1:7" x14ac:dyDescent="0.2">
      <c r="A62" s="433" t="s">
        <v>245</v>
      </c>
      <c r="B62" s="242"/>
      <c r="C62" s="806">
        <f>SUM(C37:G37)</f>
        <v>127564.42393199696</v>
      </c>
      <c r="D62" s="242" t="s">
        <v>247</v>
      </c>
      <c r="E62" s="12"/>
    </row>
    <row r="63" spans="1:7" x14ac:dyDescent="0.2">
      <c r="A63" s="1383" t="s">
        <v>848</v>
      </c>
      <c r="B63" s="243"/>
      <c r="C63" s="12">
        <f>SUM(C49:F49)</f>
        <v>137626.82456799271</v>
      </c>
      <c r="D63" s="1384" t="s">
        <v>247</v>
      </c>
      <c r="E63" s="12"/>
    </row>
    <row r="64" spans="1:7" x14ac:dyDescent="0.2">
      <c r="A64" s="842" t="s">
        <v>849</v>
      </c>
      <c r="B64" s="702"/>
      <c r="C64" s="469">
        <f>C58*F47</f>
        <v>438599.83846447401</v>
      </c>
      <c r="D64" s="702" t="s">
        <v>247</v>
      </c>
      <c r="E64" s="12"/>
    </row>
    <row r="65" spans="1:5" x14ac:dyDescent="0.2">
      <c r="A65" s="809" t="s">
        <v>248</v>
      </c>
      <c r="B65" s="843"/>
      <c r="C65" s="17">
        <f>SUM(C62:C64)</f>
        <v>703791.0869644637</v>
      </c>
      <c r="D65" s="843" t="s">
        <v>247</v>
      </c>
      <c r="E65" s="17"/>
    </row>
    <row r="66" spans="1:5" x14ac:dyDescent="0.2">
      <c r="A66" s="437" t="s">
        <v>249</v>
      </c>
      <c r="B66" s="702"/>
      <c r="C66" s="469">
        <f>'21 WACC'!B42</f>
        <v>169890.6</v>
      </c>
      <c r="D66" s="702" t="s">
        <v>247</v>
      </c>
      <c r="E66" s="12"/>
    </row>
    <row r="67" spans="1:5" x14ac:dyDescent="0.2">
      <c r="A67" s="809" t="s">
        <v>250</v>
      </c>
      <c r="B67" s="843"/>
      <c r="C67" s="17">
        <f>C65-C66</f>
        <v>533900.48696446372</v>
      </c>
      <c r="D67" s="843" t="s">
        <v>247</v>
      </c>
      <c r="E67" s="17"/>
    </row>
    <row r="68" spans="1:5" x14ac:dyDescent="0.2">
      <c r="A68" s="437" t="s">
        <v>251</v>
      </c>
      <c r="B68" s="702"/>
      <c r="C68" s="469">
        <f>'26 Pohledávka'!E50+'27 Dluhopisy'!B18+B9</f>
        <v>26571.444054882224</v>
      </c>
      <c r="D68" s="702" t="s">
        <v>247</v>
      </c>
      <c r="E68" s="12"/>
    </row>
    <row r="69" spans="1:5" x14ac:dyDescent="0.2">
      <c r="A69" s="822" t="s">
        <v>501</v>
      </c>
      <c r="B69" s="845"/>
      <c r="C69" s="844">
        <f>ROUND(C67+C68,0)</f>
        <v>560472</v>
      </c>
      <c r="D69" s="845" t="s">
        <v>247</v>
      </c>
      <c r="E69" s="856"/>
    </row>
    <row r="71" spans="1:5" ht="15.75" x14ac:dyDescent="0.25">
      <c r="A71" s="673" t="s">
        <v>496</v>
      </c>
    </row>
    <row r="72" spans="1:5" x14ac:dyDescent="0.2">
      <c r="A72" s="840" t="s">
        <v>308</v>
      </c>
      <c r="B72" s="841"/>
      <c r="C72" s="848">
        <f>C66/C67</f>
        <v>0.31820649006320889</v>
      </c>
      <c r="D72" s="242"/>
    </row>
    <row r="73" spans="1:5" x14ac:dyDescent="0.2">
      <c r="A73" s="846" t="s">
        <v>402</v>
      </c>
      <c r="B73" s="847"/>
      <c r="C73" s="850">
        <f>C67/C65</f>
        <v>0.75860649112116674</v>
      </c>
      <c r="D73" s="702"/>
    </row>
    <row r="74" spans="1:5" x14ac:dyDescent="0.2">
      <c r="A74" s="840" t="s">
        <v>533</v>
      </c>
      <c r="B74" s="841"/>
      <c r="C74" s="896">
        <f>C67/'21 WACC'!B15*1000</f>
        <v>3559.3365797630913</v>
      </c>
      <c r="D74" s="242"/>
    </row>
    <row r="75" spans="1:5" x14ac:dyDescent="0.2">
      <c r="A75" s="846" t="s">
        <v>534</v>
      </c>
      <c r="B75" s="847"/>
      <c r="C75" s="849">
        <f>C69/'21 WACC'!B15*1000</f>
        <v>3736.48</v>
      </c>
      <c r="D75" s="702"/>
    </row>
    <row r="76" spans="1:5" x14ac:dyDescent="0.2">
      <c r="A76" s="1057" t="s">
        <v>626</v>
      </c>
      <c r="B76" s="79"/>
      <c r="C76" s="1087">
        <f>C69/'7 Rozvaha'!G27</f>
        <v>1.6344887934733499</v>
      </c>
      <c r="D76" s="79"/>
    </row>
  </sheetData>
  <phoneticPr fontId="0" type="noConversion"/>
  <hyperlinks>
    <hyperlink ref="G1" location="Obsah!A1" display="Skok na obsah" xr:uid="{00000000-0004-0000-1600-000000000000}"/>
  </hyperlinks>
  <printOptions horizontalCentered="1"/>
  <pageMargins left="0.39370078740157483" right="0.39370078740157483" top="0.98425196850393704" bottom="0.98425196850393704" header="0.51181102362204722" footer="0.51181102362204722"/>
  <pageSetup paperSize="9" scale="70" orientation="portrait" r:id="rId1"/>
  <headerFooter alignWithMargins="0">
    <oddHeader>&amp;LMařík, M. a kol.: Metody oceňování podniku - 1. díl, Ekopress 2024&amp;RPříklad UNIPO, a.s.</oddHeader>
    <oddFooter>&amp;C&amp;A&amp;R&amp;"Arial CE,kurzíva"© M. Mařík, P. Maříková</oddFooter>
  </headerFooter>
  <rowBreaks count="1" manualBreakCount="1">
    <brk id="60" max="16383"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45"/>
  <sheetViews>
    <sheetView workbookViewId="0"/>
  </sheetViews>
  <sheetFormatPr defaultRowHeight="12.75" x14ac:dyDescent="0.2"/>
  <cols>
    <col min="1" max="1" width="34.7109375" customWidth="1"/>
    <col min="2" max="2" width="9.28515625" bestFit="1" customWidth="1"/>
  </cols>
  <sheetData>
    <row r="1" spans="1:9" ht="15.75" x14ac:dyDescent="0.25">
      <c r="A1" s="785" t="s">
        <v>497</v>
      </c>
      <c r="G1" s="926" t="s">
        <v>557</v>
      </c>
    </row>
    <row r="3" spans="1:9" ht="15.75" x14ac:dyDescent="0.25">
      <c r="A3" s="673" t="s">
        <v>252</v>
      </c>
    </row>
    <row r="5" spans="1:9" x14ac:dyDescent="0.2">
      <c r="A5" s="77" t="s">
        <v>254</v>
      </c>
      <c r="B5" s="93">
        <f>'22 DCF'!B35</f>
        <v>9.9000000000000005E-2</v>
      </c>
    </row>
    <row r="6" spans="1:9" x14ac:dyDescent="0.2">
      <c r="B6" s="67"/>
    </row>
    <row r="7" spans="1:9" ht="16.5" thickBot="1" x14ac:dyDescent="0.3">
      <c r="A7" s="673" t="s">
        <v>845</v>
      </c>
      <c r="B7" s="67"/>
    </row>
    <row r="8" spans="1:9" ht="13.5" thickBot="1" x14ac:dyDescent="0.25">
      <c r="A8" s="823" t="str">
        <f>'22 DCF'!A4</f>
        <v>31. 12.</v>
      </c>
      <c r="B8" s="823">
        <f>'22 DCF'!B4</f>
        <v>2016</v>
      </c>
      <c r="C8" s="1400">
        <f>'22 DCF'!C4</f>
        <v>2017</v>
      </c>
      <c r="D8" s="857">
        <f>'22 DCF'!D4</f>
        <v>2018</v>
      </c>
      <c r="E8" s="857">
        <f>'22 DCF'!E4</f>
        <v>2019</v>
      </c>
      <c r="F8" s="857">
        <f>'22 DCF'!F4</f>
        <v>2020</v>
      </c>
      <c r="G8" s="1401">
        <f>'22 DCF'!G4</f>
        <v>2021</v>
      </c>
      <c r="H8" s="7"/>
    </row>
    <row r="9" spans="1:9" x14ac:dyDescent="0.2">
      <c r="A9" s="172" t="s">
        <v>253</v>
      </c>
      <c r="B9" s="231">
        <f>'22 DCF'!B16</f>
        <v>58289.22</v>
      </c>
      <c r="C9" s="235">
        <f>'22 DCF'!C16</f>
        <v>66941.533941678164</v>
      </c>
      <c r="D9" s="12">
        <f>'22 DCF'!D16</f>
        <v>72733.461683582194</v>
      </c>
      <c r="E9" s="12">
        <f>'22 DCF'!E16</f>
        <v>75393.166667462938</v>
      </c>
      <c r="F9" s="12">
        <f>'22 DCF'!F16</f>
        <v>79725.893111499565</v>
      </c>
      <c r="G9" s="208">
        <f>'22 DCF'!G16</f>
        <v>84294.956520490217</v>
      </c>
      <c r="I9" s="12"/>
    </row>
    <row r="10" spans="1:9" x14ac:dyDescent="0.2">
      <c r="A10" s="172" t="s">
        <v>658</v>
      </c>
      <c r="B10" s="231">
        <f>'22 DCF'!B14</f>
        <v>488911.1</v>
      </c>
      <c r="C10" s="235">
        <f>'22 DCF'!C14</f>
        <v>528058.74734328769</v>
      </c>
      <c r="D10" s="12">
        <f>'22 DCF'!D14</f>
        <v>571559.01759316586</v>
      </c>
      <c r="E10" s="12">
        <f>'22 DCF'!E14</f>
        <v>612259.31457555888</v>
      </c>
      <c r="F10" s="12">
        <f>'22 DCF'!F14</f>
        <v>654860.26766479248</v>
      </c>
      <c r="G10" s="208">
        <f>'22 DCF'!G14</f>
        <v>696694.58873872878</v>
      </c>
      <c r="I10" s="12"/>
    </row>
    <row r="11" spans="1:9" ht="15.75" x14ac:dyDescent="0.3">
      <c r="A11" s="138" t="s">
        <v>432</v>
      </c>
      <c r="B11" s="138"/>
      <c r="C11" s="1402">
        <f>$B$5*B10</f>
        <v>48402.198900000003</v>
      </c>
      <c r="D11" s="469">
        <f>$B$5*C10</f>
        <v>52277.815986985486</v>
      </c>
      <c r="E11" s="469">
        <f>$B$5*D10</f>
        <v>56584.34274172342</v>
      </c>
      <c r="F11" s="469">
        <f>$B$5*E10</f>
        <v>60613.672142980329</v>
      </c>
      <c r="G11" s="215">
        <f>$B$5*F10</f>
        <v>64831.166498814462</v>
      </c>
    </row>
    <row r="12" spans="1:9" x14ac:dyDescent="0.2">
      <c r="A12" s="862" t="s">
        <v>255</v>
      </c>
      <c r="B12" s="860"/>
      <c r="C12" s="1403">
        <f>C9-C11</f>
        <v>18539.335041678161</v>
      </c>
      <c r="D12" s="856">
        <f>D9-D11</f>
        <v>20455.645696596708</v>
      </c>
      <c r="E12" s="856">
        <f>E9-E11</f>
        <v>18808.823925739518</v>
      </c>
      <c r="F12" s="856">
        <f>F9-F11</f>
        <v>19112.220968519236</v>
      </c>
      <c r="G12" s="852">
        <f>G9-G11</f>
        <v>19463.790021675755</v>
      </c>
    </row>
    <row r="13" spans="1:9" x14ac:dyDescent="0.2">
      <c r="A13" s="851"/>
      <c r="B13" s="860"/>
      <c r="C13" s="1403"/>
      <c r="D13" s="856"/>
      <c r="E13" s="856"/>
      <c r="F13" s="856"/>
      <c r="G13" s="852"/>
    </row>
    <row r="14" spans="1:9" x14ac:dyDescent="0.2">
      <c r="A14" s="223" t="str">
        <f>'22 DCF'!A35</f>
        <v>Odúročitel pro diskontní míru:</v>
      </c>
      <c r="B14" s="861">
        <f>B5</f>
        <v>9.9000000000000005E-2</v>
      </c>
      <c r="C14" s="1404">
        <f>'22 DCF'!C35</f>
        <v>0.90991810737033674</v>
      </c>
      <c r="D14" s="229">
        <f>'22 DCF'!D35</f>
        <v>0.82795096212041563</v>
      </c>
      <c r="E14" s="229">
        <f>'22 DCF'!E35</f>
        <v>0.75336757244805796</v>
      </c>
      <c r="F14" s="229">
        <f>'22 DCF'!F35</f>
        <v>0.68550279567612182</v>
      </c>
      <c r="G14" s="1405">
        <f>'22 DCF'!G35</f>
        <v>0.62375140643869142</v>
      </c>
    </row>
    <row r="15" spans="1:9" x14ac:dyDescent="0.2">
      <c r="A15" s="223"/>
      <c r="B15" s="861"/>
      <c r="C15" s="1404"/>
      <c r="D15" s="229"/>
      <c r="E15" s="229"/>
      <c r="F15" s="229"/>
      <c r="G15" s="1405"/>
    </row>
    <row r="16" spans="1:9" ht="13.5" thickBot="1" x14ac:dyDescent="0.25">
      <c r="A16" s="226" t="s">
        <v>256</v>
      </c>
      <c r="B16" s="234"/>
      <c r="C16" s="1406">
        <f>C12*C14</f>
        <v>16869.276653028355</v>
      </c>
      <c r="D16" s="18">
        <f>D12*D14</f>
        <v>16936.271535291584</v>
      </c>
      <c r="E16" s="18">
        <f>E12*E14</f>
        <v>14169.958021537332</v>
      </c>
      <c r="F16" s="18">
        <f>F12*F14</f>
        <v>13101.480905499733</v>
      </c>
      <c r="G16" s="1407">
        <f>G12*G14</f>
        <v>12140.56640064762</v>
      </c>
    </row>
    <row r="18" spans="1:7" ht="16.5" thickBot="1" x14ac:dyDescent="0.3">
      <c r="A18" s="673" t="s">
        <v>846</v>
      </c>
    </row>
    <row r="19" spans="1:7" ht="13.5" thickBot="1" x14ac:dyDescent="0.25">
      <c r="A19" s="823" t="str">
        <f>A8</f>
        <v>31. 12.</v>
      </c>
      <c r="B19" s="823">
        <f>G8</f>
        <v>2021</v>
      </c>
      <c r="C19" s="857">
        <f>B19+1</f>
        <v>2022</v>
      </c>
      <c r="D19" s="857">
        <f>C19+1</f>
        <v>2023</v>
      </c>
      <c r="E19" s="857">
        <f>D19+1</f>
        <v>2024</v>
      </c>
      <c r="F19" s="857">
        <f>E19+1</f>
        <v>2025</v>
      </c>
      <c r="G19" s="823">
        <f>F19+1</f>
        <v>2026</v>
      </c>
    </row>
    <row r="20" spans="1:7" x14ac:dyDescent="0.2">
      <c r="A20" s="172" t="s">
        <v>253</v>
      </c>
      <c r="B20" s="231">
        <f>G9</f>
        <v>84294.956520490217</v>
      </c>
      <c r="C20" s="12">
        <f>'22 DCF'!C42</f>
        <v>86992.395129145909</v>
      </c>
      <c r="D20" s="12">
        <f>'22 DCF'!D42</f>
        <v>89602.166983020288</v>
      </c>
      <c r="E20" s="12">
        <f>'22 DCF'!E42</f>
        <v>92111.027658544859</v>
      </c>
      <c r="F20" s="12">
        <f>'22 DCF'!F42</f>
        <v>94413.803350008471</v>
      </c>
      <c r="G20" s="231">
        <f>'22 DCF'!G42</f>
        <v>96396.493220358636</v>
      </c>
    </row>
    <row r="21" spans="1:7" x14ac:dyDescent="0.2">
      <c r="A21" s="172" t="s">
        <v>658</v>
      </c>
      <c r="B21" s="231">
        <f>G10</f>
        <v>696694.58873872878</v>
      </c>
      <c r="C21" s="12">
        <f>'22 DCF'!C43</f>
        <v>718988.81557836814</v>
      </c>
      <c r="D21" s="12">
        <f>'22 DCF'!D43</f>
        <v>740558.48004571919</v>
      </c>
      <c r="E21" s="12">
        <f>'22 DCF'!E43</f>
        <v>761294.11748699937</v>
      </c>
      <c r="F21" s="12">
        <f>'22 DCF'!F43</f>
        <v>780326.47042417433</v>
      </c>
      <c r="G21" s="231">
        <f>'22 DCF'!G43</f>
        <v>796713.32630308194</v>
      </c>
    </row>
    <row r="22" spans="1:7" ht="15.75" x14ac:dyDescent="0.3">
      <c r="A22" s="138" t="s">
        <v>432</v>
      </c>
      <c r="B22" s="138"/>
      <c r="C22" s="469">
        <f>$B$5*B21</f>
        <v>68972.764285134152</v>
      </c>
      <c r="D22" s="469">
        <f>$B$5*C21</f>
        <v>71179.892742258453</v>
      </c>
      <c r="E22" s="469">
        <f>$B$5*D21</f>
        <v>73315.289524526204</v>
      </c>
      <c r="F22" s="469">
        <f>$B$5*E21</f>
        <v>75368.117631212939</v>
      </c>
      <c r="G22" s="468">
        <f>$B$5*F21</f>
        <v>77252.320571993259</v>
      </c>
    </row>
    <row r="23" spans="1:7" x14ac:dyDescent="0.2">
      <c r="A23" s="862" t="s">
        <v>255</v>
      </c>
      <c r="B23" s="860"/>
      <c r="C23" s="856">
        <f>C20-C22</f>
        <v>18019.630844011757</v>
      </c>
      <c r="D23" s="856">
        <f>D20-D22</f>
        <v>18422.274240761835</v>
      </c>
      <c r="E23" s="856">
        <f>E20-E22</f>
        <v>18795.738134018655</v>
      </c>
      <c r="F23" s="856">
        <f>F20-F22</f>
        <v>19045.685718795532</v>
      </c>
      <c r="G23" s="858">
        <f>G20-G22</f>
        <v>19144.172648365377</v>
      </c>
    </row>
    <row r="24" spans="1:7" x14ac:dyDescent="0.2">
      <c r="A24" s="851"/>
      <c r="B24" s="860"/>
      <c r="C24" s="856"/>
      <c r="D24" s="856"/>
      <c r="E24" s="856"/>
      <c r="F24" s="856"/>
      <c r="G24" s="858"/>
    </row>
    <row r="25" spans="1:7" x14ac:dyDescent="0.2">
      <c r="A25" s="223" t="str">
        <f>A14</f>
        <v>Odúročitel pro diskontní míru:</v>
      </c>
      <c r="B25" s="861">
        <f>B14</f>
        <v>9.9000000000000005E-2</v>
      </c>
      <c r="C25" s="229">
        <f>'22 DCF'!C47</f>
        <v>0.56756269921627978</v>
      </c>
      <c r="D25" s="229">
        <f>'22 DCF'!D47</f>
        <v>0.51643557708487697</v>
      </c>
      <c r="E25" s="229">
        <f>'22 DCF'!E47</f>
        <v>0.46991408287977882</v>
      </c>
      <c r="F25" s="229">
        <f>'22 DCF'!F47</f>
        <v>0.42758333292063588</v>
      </c>
      <c r="G25" s="1336"/>
    </row>
    <row r="26" spans="1:7" x14ac:dyDescent="0.2">
      <c r="A26" s="223"/>
      <c r="B26" s="861"/>
      <c r="C26" s="229"/>
      <c r="D26" s="229"/>
      <c r="E26" s="229"/>
      <c r="F26" s="229"/>
      <c r="G26" s="1336"/>
    </row>
    <row r="27" spans="1:7" ht="13.5" thickBot="1" x14ac:dyDescent="0.25">
      <c r="A27" s="226" t="s">
        <v>256</v>
      </c>
      <c r="B27" s="234"/>
      <c r="C27" s="18">
        <f>C23*C25</f>
        <v>10227.270320708243</v>
      </c>
      <c r="D27" s="18">
        <f>D23*D25</f>
        <v>9513.9178287437026</v>
      </c>
      <c r="E27" s="18">
        <f>E23*E25</f>
        <v>8832.3820472958614</v>
      </c>
      <c r="F27" s="18">
        <f>F23*F25</f>
        <v>8143.6177774015505</v>
      </c>
      <c r="G27" s="233"/>
    </row>
    <row r="28" spans="1:7" x14ac:dyDescent="0.2">
      <c r="A28" s="1"/>
      <c r="B28" s="1"/>
      <c r="C28" s="17"/>
      <c r="D28" s="17"/>
      <c r="E28" s="17"/>
      <c r="F28" s="17"/>
      <c r="G28" s="17"/>
    </row>
    <row r="29" spans="1:7" x14ac:dyDescent="0.2">
      <c r="A29" s="1"/>
      <c r="B29" s="1"/>
      <c r="C29" s="17"/>
      <c r="D29" s="17"/>
      <c r="E29" s="17"/>
      <c r="F29" s="17"/>
      <c r="G29" s="17"/>
    </row>
    <row r="30" spans="1:7" ht="15.75" x14ac:dyDescent="0.25">
      <c r="A30" s="673" t="s">
        <v>239</v>
      </c>
    </row>
    <row r="31" spans="1:7" x14ac:dyDescent="0.2">
      <c r="A31" s="89" t="s">
        <v>167</v>
      </c>
      <c r="B31" s="241"/>
      <c r="C31" s="1211">
        <f>'22 DCF'!C52</f>
        <v>2.1000000000000001E-2</v>
      </c>
      <c r="D31" s="79"/>
      <c r="E31" s="61"/>
    </row>
    <row r="32" spans="1:7" x14ac:dyDescent="0.2">
      <c r="C32" s="61"/>
      <c r="E32" s="61"/>
    </row>
    <row r="33" spans="1:6" x14ac:dyDescent="0.2">
      <c r="A33" s="89" t="s">
        <v>239</v>
      </c>
      <c r="B33" s="241"/>
      <c r="C33" s="145">
        <f>G23/(B5-C31)</f>
        <v>245438.11087647919</v>
      </c>
      <c r="D33" s="79" t="s">
        <v>247</v>
      </c>
      <c r="E33" s="12"/>
    </row>
    <row r="35" spans="1:6" ht="15.75" x14ac:dyDescent="0.25">
      <c r="A35" s="673" t="s">
        <v>784</v>
      </c>
      <c r="B35" s="673"/>
    </row>
    <row r="36" spans="1:6" x14ac:dyDescent="0.2">
      <c r="A36" s="433" t="s">
        <v>245</v>
      </c>
      <c r="B36" s="242"/>
      <c r="C36" s="806">
        <f>SUM(C16:G16)</f>
        <v>73217.553516004613</v>
      </c>
      <c r="D36" s="242" t="s">
        <v>247</v>
      </c>
      <c r="E36" s="12"/>
    </row>
    <row r="37" spans="1:6" x14ac:dyDescent="0.2">
      <c r="A37" s="1383" t="s">
        <v>246</v>
      </c>
      <c r="B37" s="243"/>
      <c r="C37" s="12">
        <f>SUM(C27:F27)</f>
        <v>36717.187974149361</v>
      </c>
      <c r="D37" s="1384" t="s">
        <v>247</v>
      </c>
      <c r="E37" s="12"/>
    </row>
    <row r="38" spans="1:6" x14ac:dyDescent="0.2">
      <c r="A38" s="842" t="s">
        <v>849</v>
      </c>
      <c r="B38" s="702"/>
      <c r="C38" s="469">
        <f>C33*F25</f>
        <v>104945.24547430954</v>
      </c>
      <c r="D38" s="702" t="s">
        <v>247</v>
      </c>
      <c r="E38" s="12"/>
    </row>
    <row r="39" spans="1:6" x14ac:dyDescent="0.2">
      <c r="A39" s="809" t="s">
        <v>257</v>
      </c>
      <c r="B39" s="843"/>
      <c r="C39" s="17">
        <f>SUM(C36:C38)</f>
        <v>214879.98696446352</v>
      </c>
      <c r="D39" s="243" t="s">
        <v>247</v>
      </c>
      <c r="E39" s="17"/>
      <c r="F39" s="1"/>
    </row>
    <row r="40" spans="1:6" x14ac:dyDescent="0.2">
      <c r="A40" s="437" t="s">
        <v>258</v>
      </c>
      <c r="B40" s="702"/>
      <c r="C40" s="469">
        <f>B10</f>
        <v>488911.1</v>
      </c>
      <c r="D40" s="702" t="s">
        <v>247</v>
      </c>
      <c r="E40" s="12"/>
      <c r="F40" s="238"/>
    </row>
    <row r="41" spans="1:6" x14ac:dyDescent="0.2">
      <c r="A41" s="809" t="s">
        <v>248</v>
      </c>
      <c r="B41" s="843"/>
      <c r="C41" s="17">
        <f>C39+C40</f>
        <v>703791.08696446347</v>
      </c>
      <c r="D41" s="843" t="s">
        <v>247</v>
      </c>
      <c r="E41" s="17"/>
      <c r="F41" s="239"/>
    </row>
    <row r="42" spans="1:6" x14ac:dyDescent="0.2">
      <c r="A42" s="437" t="s">
        <v>249</v>
      </c>
      <c r="B42" s="702"/>
      <c r="C42" s="469">
        <f>'22 DCF'!C66</f>
        <v>169890.6</v>
      </c>
      <c r="D42" s="702" t="s">
        <v>247</v>
      </c>
      <c r="E42" s="61"/>
    </row>
    <row r="43" spans="1:6" x14ac:dyDescent="0.2">
      <c r="A43" s="809" t="s">
        <v>250</v>
      </c>
      <c r="B43" s="843"/>
      <c r="C43" s="17">
        <f>C41-C42</f>
        <v>533900.48696446349</v>
      </c>
      <c r="D43" s="843" t="s">
        <v>247</v>
      </c>
      <c r="E43" s="17"/>
    </row>
    <row r="44" spans="1:6" x14ac:dyDescent="0.2">
      <c r="A44" s="437" t="s">
        <v>251</v>
      </c>
      <c r="B44" s="702"/>
      <c r="C44" s="469">
        <f>'22 DCF'!C68</f>
        <v>26571.444054882224</v>
      </c>
      <c r="D44" s="702" t="s">
        <v>247</v>
      </c>
      <c r="E44" s="12"/>
    </row>
    <row r="45" spans="1:6" x14ac:dyDescent="0.2">
      <c r="A45" s="822" t="s">
        <v>500</v>
      </c>
      <c r="B45" s="845"/>
      <c r="C45" s="844">
        <f>C43+C44</f>
        <v>560471.93101934576</v>
      </c>
      <c r="D45" s="845" t="s">
        <v>247</v>
      </c>
      <c r="E45" s="856"/>
    </row>
  </sheetData>
  <phoneticPr fontId="0" type="noConversion"/>
  <hyperlinks>
    <hyperlink ref="G1" location="Obsah!A1" display="Skok na obsah" xr:uid="{00000000-0004-0000-17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ignoredErrors>
    <ignoredError sqref="C40" formula="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34"/>
  <sheetViews>
    <sheetView workbookViewId="0"/>
  </sheetViews>
  <sheetFormatPr defaultRowHeight="12.75" x14ac:dyDescent="0.2"/>
  <cols>
    <col min="1" max="1" width="52.85546875" customWidth="1"/>
    <col min="2" max="6" width="8.140625" customWidth="1"/>
  </cols>
  <sheetData>
    <row r="1" spans="1:7" ht="15.75" x14ac:dyDescent="0.25">
      <c r="A1" s="785" t="s">
        <v>498</v>
      </c>
      <c r="G1" s="926" t="s">
        <v>557</v>
      </c>
    </row>
    <row r="2" spans="1:7" ht="15.75" x14ac:dyDescent="0.25">
      <c r="A2" s="673" t="s">
        <v>499</v>
      </c>
    </row>
    <row r="3" spans="1:7" ht="13.5" thickBot="1" x14ac:dyDescent="0.25"/>
    <row r="4" spans="1:7" ht="13.5" thickBot="1" x14ac:dyDescent="0.25">
      <c r="A4" s="701"/>
      <c r="B4" s="827">
        <f>'8 Výsledovka'!D4</f>
        <v>2012</v>
      </c>
      <c r="C4" s="828">
        <f>'8 Výsledovka'!E4</f>
        <v>2013</v>
      </c>
      <c r="D4" s="828">
        <f>'8 Výsledovka'!F4</f>
        <v>2014</v>
      </c>
      <c r="E4" s="828">
        <f>'8 Výsledovka'!G4</f>
        <v>2015</v>
      </c>
      <c r="F4" s="829">
        <f>'8 Výsledovka'!H4</f>
        <v>2016</v>
      </c>
      <c r="G4" s="823" t="s">
        <v>284</v>
      </c>
    </row>
    <row r="5" spans="1:7" x14ac:dyDescent="0.2">
      <c r="A5" s="524" t="s">
        <v>318</v>
      </c>
      <c r="B5" s="716">
        <f>'8 Výsledovka'!D27</f>
        <v>30496.7</v>
      </c>
      <c r="C5" s="717">
        <f>'8 Výsledovka'!E27</f>
        <v>35753.013269999996</v>
      </c>
      <c r="D5" s="717">
        <f>'8 Výsledovka'!F27</f>
        <v>16046.472677487</v>
      </c>
      <c r="E5" s="717">
        <f>'8 Výsledovka'!G27</f>
        <v>51665.016374322251</v>
      </c>
      <c r="F5" s="718">
        <f>'8 Výsledovka'!H27</f>
        <v>64157.987869403325</v>
      </c>
      <c r="G5" s="172"/>
    </row>
    <row r="6" spans="1:7" x14ac:dyDescent="0.2">
      <c r="A6" s="172" t="s">
        <v>413</v>
      </c>
      <c r="B6" s="514">
        <f>'8 Výsledovka'!D13</f>
        <v>24292</v>
      </c>
      <c r="C6" s="495">
        <f>'8 Výsledovka'!E13</f>
        <v>23096</v>
      </c>
      <c r="D6" s="495">
        <f>'8 Výsledovka'!F13</f>
        <v>35640</v>
      </c>
      <c r="E6" s="495">
        <f>'8 Výsledovka'!G13</f>
        <v>45310</v>
      </c>
      <c r="F6" s="746">
        <f>'8 Výsledovka'!H13</f>
        <v>45372</v>
      </c>
      <c r="G6" s="172"/>
    </row>
    <row r="7" spans="1:7" x14ac:dyDescent="0.2">
      <c r="A7" s="172" t="s">
        <v>423</v>
      </c>
      <c r="B7" s="514">
        <f>-('8 Výsledovka'!D23+'8 Výsledovka'!D24)</f>
        <v>-208.7</v>
      </c>
      <c r="C7" s="495">
        <f>-('8 Výsledovka'!E23+'8 Výsledovka'!E24)</f>
        <v>-187.01327000000049</v>
      </c>
      <c r="D7" s="495">
        <f>-('8 Výsledovka'!F23+'8 Výsledovka'!F24)</f>
        <v>-293.47267748699988</v>
      </c>
      <c r="E7" s="495">
        <f>-('8 Výsledovka'!G23+'8 Výsledovka'!G24)</f>
        <v>-290.01637432225118</v>
      </c>
      <c r="F7" s="746">
        <f>-('8 Výsledovka'!H23+'8 Výsledovka'!H24)</f>
        <v>-278.98786940332735</v>
      </c>
      <c r="G7" s="172"/>
    </row>
    <row r="8" spans="1:7" x14ac:dyDescent="0.2">
      <c r="A8" s="172" t="s">
        <v>419</v>
      </c>
      <c r="B8" s="514">
        <f>-'8 Výsledovka'!D15</f>
        <v>0</v>
      </c>
      <c r="C8" s="495">
        <f>-'8 Výsledovka'!E15</f>
        <v>0</v>
      </c>
      <c r="D8" s="495">
        <f>-'8 Výsledovka'!F15</f>
        <v>0</v>
      </c>
      <c r="E8" s="495">
        <f>-'8 Výsledovka'!G15</f>
        <v>-15370</v>
      </c>
      <c r="F8" s="746">
        <f>-'8 Výsledovka'!H15</f>
        <v>0</v>
      </c>
      <c r="G8" s="172"/>
    </row>
    <row r="9" spans="1:7" x14ac:dyDescent="0.2">
      <c r="A9" s="172" t="s">
        <v>535</v>
      </c>
      <c r="B9" s="514">
        <f>+'8 Výsledovka'!D18</f>
        <v>0</v>
      </c>
      <c r="C9" s="495">
        <f>+'8 Výsledovka'!E18</f>
        <v>0</v>
      </c>
      <c r="D9" s="495">
        <f>+'8 Výsledovka'!F18</f>
        <v>0</v>
      </c>
      <c r="E9" s="495">
        <f>+'8 Výsledovka'!G18</f>
        <v>6656</v>
      </c>
      <c r="F9" s="746">
        <f>+'8 Výsledovka'!H18</f>
        <v>0</v>
      </c>
      <c r="G9" s="172"/>
    </row>
    <row r="10" spans="1:7" x14ac:dyDescent="0.2">
      <c r="A10" s="172" t="s">
        <v>536</v>
      </c>
      <c r="B10" s="514"/>
      <c r="C10" s="495"/>
      <c r="D10" s="495"/>
      <c r="E10" s="495">
        <v>2000</v>
      </c>
      <c r="F10" s="746"/>
      <c r="G10" s="172"/>
    </row>
    <row r="11" spans="1:7" x14ac:dyDescent="0.2">
      <c r="A11" s="172" t="s">
        <v>421</v>
      </c>
      <c r="B11" s="514">
        <f>-'8 Výsledovka'!D16</f>
        <v>-733</v>
      </c>
      <c r="C11" s="495">
        <f>-'8 Výsledovka'!E16</f>
        <v>-548</v>
      </c>
      <c r="D11" s="495">
        <f>-'8 Výsledovka'!F16</f>
        <v>-406</v>
      </c>
      <c r="E11" s="495">
        <f>-'8 Výsledovka'!G16</f>
        <v>-102</v>
      </c>
      <c r="F11" s="746">
        <f>-'8 Výsledovka'!H16</f>
        <v>-2833</v>
      </c>
      <c r="G11" s="172"/>
    </row>
    <row r="12" spans="1:7" x14ac:dyDescent="0.2">
      <c r="A12" s="138" t="s">
        <v>422</v>
      </c>
      <c r="B12" s="150">
        <f>'8 Výsledovka'!D21</f>
        <v>95</v>
      </c>
      <c r="C12" s="148">
        <f>'8 Výsledovka'!E21</f>
        <v>745</v>
      </c>
      <c r="D12" s="148">
        <f>'8 Výsledovka'!F21</f>
        <v>8470</v>
      </c>
      <c r="E12" s="148">
        <f>'8 Výsledovka'!G21</f>
        <v>4250</v>
      </c>
      <c r="F12" s="151">
        <f>'8 Výsledovka'!H21</f>
        <v>380</v>
      </c>
      <c r="G12" s="172"/>
    </row>
    <row r="13" spans="1:7" x14ac:dyDescent="0.2">
      <c r="A13" s="524" t="s">
        <v>874</v>
      </c>
      <c r="B13" s="716">
        <f>SUM(B5:B12)</f>
        <v>53942</v>
      </c>
      <c r="C13" s="717">
        <f>SUM(C5:C12)</f>
        <v>58858.999999999993</v>
      </c>
      <c r="D13" s="717">
        <f>SUM(D5:D12)</f>
        <v>59457</v>
      </c>
      <c r="E13" s="717">
        <f>SUM(E5:E12)</f>
        <v>94119</v>
      </c>
      <c r="F13" s="718">
        <f>SUM(F5:F12)</f>
        <v>106798</v>
      </c>
      <c r="G13" s="172"/>
    </row>
    <row r="14" spans="1:7" x14ac:dyDescent="0.2">
      <c r="A14" s="863" t="s">
        <v>414</v>
      </c>
      <c r="B14" s="864">
        <f>'4 Vnější potenciál'!D21</f>
        <v>1.0329999999999999</v>
      </c>
      <c r="C14" s="865">
        <f>'4 Vnější potenciál'!D22</f>
        <v>1.014</v>
      </c>
      <c r="D14" s="865">
        <f>'4 Vnější potenciál'!D23</f>
        <v>1.004</v>
      </c>
      <c r="E14" s="865">
        <f>'4 Vnější potenciál'!D24</f>
        <v>1.0029999999999999</v>
      </c>
      <c r="F14" s="866">
        <f>'4 Vnější potenciál'!D25</f>
        <v>1.0049999999999999</v>
      </c>
      <c r="G14" s="172"/>
    </row>
    <row r="15" spans="1:7" x14ac:dyDescent="0.2">
      <c r="A15" s="1332" t="s">
        <v>810</v>
      </c>
      <c r="B15" s="867">
        <f>1/(C14*D14*E14*F14)</f>
        <v>0.97445398822224905</v>
      </c>
      <c r="C15" s="868">
        <f>1/(D14*E14*F14)</f>
        <v>0.98809634405736058</v>
      </c>
      <c r="D15" s="868">
        <f>1/(E14*F14)</f>
        <v>0.9920487294335899</v>
      </c>
      <c r="E15" s="868">
        <f>1/F14</f>
        <v>0.99502487562189068</v>
      </c>
      <c r="F15" s="869">
        <v>1</v>
      </c>
      <c r="G15" s="172"/>
    </row>
    <row r="16" spans="1:7" x14ac:dyDescent="0.2">
      <c r="A16" s="524" t="s">
        <v>415</v>
      </c>
      <c r="B16" s="716">
        <f>B13/B15</f>
        <v>55356.128305667269</v>
      </c>
      <c r="C16" s="717">
        <f>C13/C15</f>
        <v>59568.077904539976</v>
      </c>
      <c r="D16" s="717">
        <f>D13/D15</f>
        <v>59933.54785499999</v>
      </c>
      <c r="E16" s="717">
        <f>E13/E15</f>
        <v>94589.594999999987</v>
      </c>
      <c r="F16" s="718">
        <f>F13/F15</f>
        <v>106798</v>
      </c>
      <c r="G16" s="489"/>
    </row>
    <row r="17" spans="1:7" x14ac:dyDescent="0.2">
      <c r="A17" s="138" t="s">
        <v>416</v>
      </c>
      <c r="B17" s="150">
        <v>1</v>
      </c>
      <c r="C17" s="148">
        <v>2</v>
      </c>
      <c r="D17" s="148">
        <v>3</v>
      </c>
      <c r="E17" s="148">
        <v>4</v>
      </c>
      <c r="F17" s="151">
        <v>5</v>
      </c>
      <c r="G17" s="870">
        <f>SUM(B17:F17)</f>
        <v>15</v>
      </c>
    </row>
    <row r="18" spans="1:7" ht="13.5" thickBot="1" x14ac:dyDescent="0.25">
      <c r="A18" s="75" t="s">
        <v>428</v>
      </c>
      <c r="B18" s="515">
        <f>B16*B17</f>
        <v>55356.128305667269</v>
      </c>
      <c r="C18" s="496">
        <f>C16*C17</f>
        <v>119136.15580907995</v>
      </c>
      <c r="D18" s="496">
        <f>D16*D17</f>
        <v>179800.64356499998</v>
      </c>
      <c r="E18" s="496">
        <f>E16*E17</f>
        <v>378358.37999999995</v>
      </c>
      <c r="F18" s="833">
        <f>F16*F17</f>
        <v>533990</v>
      </c>
      <c r="G18" s="233">
        <f>SUM(B18:F18)</f>
        <v>1266641.3076797472</v>
      </c>
    </row>
    <row r="19" spans="1:7" x14ac:dyDescent="0.2">
      <c r="B19" s="12"/>
      <c r="C19" s="12"/>
      <c r="D19" s="12"/>
      <c r="E19" s="12"/>
      <c r="F19" s="12"/>
      <c r="G19" s="12"/>
    </row>
    <row r="20" spans="1:7" x14ac:dyDescent="0.2">
      <c r="A20" s="433" t="s">
        <v>417</v>
      </c>
      <c r="B20" s="745">
        <f>G18/G17</f>
        <v>84442.753845316489</v>
      </c>
      <c r="C20" s="12"/>
      <c r="D20" s="12"/>
      <c r="E20" s="12"/>
      <c r="F20" s="12"/>
      <c r="G20" s="12"/>
    </row>
    <row r="21" spans="1:7" x14ac:dyDescent="0.2">
      <c r="A21" s="437" t="s">
        <v>418</v>
      </c>
      <c r="B21" s="148">
        <v>52500</v>
      </c>
      <c r="C21" s="12"/>
      <c r="D21" s="12"/>
      <c r="E21" s="12"/>
      <c r="F21" s="12"/>
    </row>
    <row r="22" spans="1:7" x14ac:dyDescent="0.2">
      <c r="A22" s="809" t="s">
        <v>424</v>
      </c>
      <c r="B22" s="717">
        <f>B20-B21</f>
        <v>31942.753845316489</v>
      </c>
      <c r="C22" s="12"/>
      <c r="D22" s="12"/>
      <c r="E22" s="12"/>
      <c r="F22" s="12"/>
    </row>
    <row r="23" spans="1:7" x14ac:dyDescent="0.2">
      <c r="A23" s="435" t="s">
        <v>425</v>
      </c>
      <c r="B23" s="495">
        <f>B20-F6</f>
        <v>39070.753845316489</v>
      </c>
      <c r="C23" s="12"/>
      <c r="D23" s="12"/>
      <c r="E23" s="12"/>
      <c r="F23" s="12"/>
    </row>
    <row r="24" spans="1:7" x14ac:dyDescent="0.2">
      <c r="A24" s="437" t="str">
        <f>"Daň ("&amp;FIXED('18 Plán'!F7*100,0)&amp;" %)"</f>
        <v>Daň (19 %)</v>
      </c>
      <c r="B24" s="148">
        <f>B23*'18 Plán'!G7</f>
        <v>7423.4432306101326</v>
      </c>
      <c r="C24" s="12"/>
      <c r="D24" s="12"/>
      <c r="E24" s="12"/>
      <c r="F24" s="12"/>
    </row>
    <row r="25" spans="1:7" x14ac:dyDescent="0.2">
      <c r="A25" s="822" t="s">
        <v>838</v>
      </c>
      <c r="B25" s="871">
        <f>B22-B24</f>
        <v>24519.310614706355</v>
      </c>
      <c r="C25" s="12"/>
      <c r="D25" s="12"/>
      <c r="E25" s="12"/>
      <c r="F25" s="12"/>
    </row>
    <row r="26" spans="1:7" x14ac:dyDescent="0.2">
      <c r="B26" s="12"/>
      <c r="C26" s="12"/>
      <c r="D26" s="12"/>
      <c r="E26" s="12"/>
      <c r="F26" s="12"/>
    </row>
    <row r="27" spans="1:7" x14ac:dyDescent="0.2">
      <c r="A27" s="433" t="s">
        <v>427</v>
      </c>
      <c r="B27" s="872">
        <v>0.02</v>
      </c>
      <c r="C27" s="12"/>
      <c r="D27" s="12"/>
      <c r="E27" s="12"/>
      <c r="F27" s="12"/>
    </row>
    <row r="28" spans="1:7" ht="14.25" x14ac:dyDescent="0.25">
      <c r="A28" s="807" t="s">
        <v>426</v>
      </c>
      <c r="B28" s="873">
        <f>'19 nVK - CAPM'!B21-'24 KČV'!B27</f>
        <v>9.7000000000000003E-2</v>
      </c>
      <c r="C28" s="12"/>
      <c r="D28" s="12"/>
      <c r="E28" s="12"/>
      <c r="F28" s="12"/>
    </row>
    <row r="29" spans="1:7" x14ac:dyDescent="0.2">
      <c r="A29" s="1"/>
      <c r="B29" s="156"/>
      <c r="C29" s="12"/>
      <c r="D29" s="12"/>
      <c r="E29" s="12"/>
      <c r="F29" s="12"/>
    </row>
    <row r="30" spans="1:7" x14ac:dyDescent="0.2">
      <c r="A30" s="786" t="s">
        <v>840</v>
      </c>
      <c r="B30" s="1370">
        <f>B25*(1-B27/(B28+B27))</f>
        <v>20327.975466893302</v>
      </c>
      <c r="C30" s="12"/>
      <c r="D30" s="12"/>
      <c r="E30" s="12"/>
      <c r="F30" s="12"/>
    </row>
    <row r="31" spans="1:7" x14ac:dyDescent="0.2">
      <c r="B31" s="12"/>
      <c r="C31" s="12"/>
      <c r="D31" s="12"/>
      <c r="E31" s="12"/>
      <c r="F31" s="12"/>
    </row>
    <row r="32" spans="1:7" x14ac:dyDescent="0.2">
      <c r="A32" s="874" t="s">
        <v>420</v>
      </c>
      <c r="B32" s="723">
        <f>B30/B28</f>
        <v>209566.75739065258</v>
      </c>
      <c r="C32" s="12"/>
      <c r="D32" s="12"/>
      <c r="E32" s="12"/>
      <c r="F32" s="12"/>
    </row>
    <row r="33" spans="1:6" x14ac:dyDescent="0.2">
      <c r="A33" s="437" t="s">
        <v>251</v>
      </c>
      <c r="B33" s="148">
        <f>'22 DCF'!C68</f>
        <v>26571.444054882224</v>
      </c>
      <c r="C33" s="12"/>
      <c r="D33" s="12"/>
      <c r="E33" s="12"/>
      <c r="F33" s="12"/>
    </row>
    <row r="34" spans="1:6" x14ac:dyDescent="0.2">
      <c r="A34" s="822" t="s">
        <v>502</v>
      </c>
      <c r="B34" s="871">
        <f>B32+B33</f>
        <v>236138.2014455348</v>
      </c>
      <c r="C34" s="12"/>
      <c r="D34" s="12"/>
      <c r="E34" s="12"/>
      <c r="F34" s="12"/>
    </row>
  </sheetData>
  <phoneticPr fontId="0" type="noConversion"/>
  <hyperlinks>
    <hyperlink ref="G1" location="Obsah!A1" display="Skok na obsah" xr:uid="{00000000-0004-0000-1800-000000000000}"/>
  </hyperlinks>
  <pageMargins left="0.39370078740157483" right="0.39370078740157483" top="0.98425196850393704" bottom="0.98425196850393704" header="0.51181102362204722" footer="0.51181102362204722"/>
  <pageSetup paperSize="9" scale="94" orientation="portrait" r:id="rId1"/>
  <headerFooter alignWithMargins="0">
    <oddHeader>&amp;LMařík, M. a kol.: Metody oceňování podniku - 1. díl, Ekopress 2024&amp;RPříklad UNIPO, a.s.</oddHeader>
    <oddFooter>&amp;C&amp;A&amp;R&amp;"Arial CE,kurzíva"© M. Mařík, P. Maříková</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22"/>
  <sheetViews>
    <sheetView workbookViewId="0"/>
  </sheetViews>
  <sheetFormatPr defaultRowHeight="12.75" x14ac:dyDescent="0.2"/>
  <cols>
    <col min="1" max="1" width="13.140625" customWidth="1"/>
    <col min="2" max="3" width="13.5703125" customWidth="1"/>
    <col min="4" max="4" width="9.85546875" customWidth="1"/>
    <col min="5" max="5" width="11.5703125" customWidth="1"/>
    <col min="6" max="6" width="9.85546875" customWidth="1"/>
  </cols>
  <sheetData>
    <row r="1" spans="1:7" ht="18" customHeight="1" x14ac:dyDescent="0.25">
      <c r="A1" s="785" t="s">
        <v>850</v>
      </c>
      <c r="F1" s="925"/>
      <c r="G1" s="926" t="s">
        <v>557</v>
      </c>
    </row>
    <row r="3" spans="1:7" x14ac:dyDescent="0.2">
      <c r="A3" s="465" t="s">
        <v>855</v>
      </c>
    </row>
    <row r="4" spans="1:7" x14ac:dyDescent="0.2">
      <c r="A4" s="66" t="s">
        <v>856</v>
      </c>
    </row>
    <row r="5" spans="1:7" x14ac:dyDescent="0.2">
      <c r="A5" s="1" t="s">
        <v>868</v>
      </c>
    </row>
    <row r="6" spans="1:7" x14ac:dyDescent="0.2">
      <c r="A6" s="66"/>
    </row>
    <row r="7" spans="1:7" x14ac:dyDescent="0.2">
      <c r="A7" s="1386" t="s">
        <v>859</v>
      </c>
      <c r="B7" s="242"/>
      <c r="C7" s="745">
        <f>'22 DCF'!C66</f>
        <v>169890.6</v>
      </c>
    </row>
    <row r="8" spans="1:7" x14ac:dyDescent="0.2">
      <c r="A8" s="842" t="s">
        <v>860</v>
      </c>
      <c r="B8" s="147"/>
      <c r="C8" s="148">
        <f>'22 DCF'!C68</f>
        <v>26571.444054882224</v>
      </c>
    </row>
    <row r="9" spans="1:7" x14ac:dyDescent="0.2">
      <c r="A9" s="465"/>
    </row>
    <row r="10" spans="1:7" ht="41.25" customHeight="1" x14ac:dyDescent="0.2">
      <c r="A10" s="1389" t="s">
        <v>867</v>
      </c>
      <c r="B10" s="1067" t="s">
        <v>851</v>
      </c>
      <c r="C10" s="1561" t="s">
        <v>853</v>
      </c>
      <c r="D10" s="1532"/>
      <c r="E10" s="1067" t="s">
        <v>248</v>
      </c>
      <c r="F10" s="1067" t="s">
        <v>250</v>
      </c>
      <c r="G10" s="1067" t="s">
        <v>861</v>
      </c>
    </row>
    <row r="11" spans="1:7" x14ac:dyDescent="0.2">
      <c r="A11" s="1387" t="s">
        <v>858</v>
      </c>
      <c r="B11" s="241"/>
      <c r="C11" s="241"/>
      <c r="D11" s="241"/>
      <c r="E11" s="241"/>
      <c r="F11" s="241"/>
      <c r="G11" s="79"/>
    </row>
    <row r="12" spans="1:7" ht="15" customHeight="1" x14ac:dyDescent="0.2">
      <c r="A12" s="756" t="s">
        <v>407</v>
      </c>
      <c r="B12" s="1075">
        <v>13.23</v>
      </c>
      <c r="C12" s="1386" t="s">
        <v>852</v>
      </c>
      <c r="D12" s="745">
        <f>('18 Plán'!B44-'18 Plán'!B22)*(1-'18 Plán'!B7)</f>
        <v>49755.060000000005</v>
      </c>
      <c r="E12" s="434"/>
      <c r="F12" s="745">
        <f>B12*D12</f>
        <v>658259.44380000012</v>
      </c>
      <c r="G12" s="1044">
        <f>F12+$C$8</f>
        <v>684830.8878548824</v>
      </c>
    </row>
    <row r="13" spans="1:7" ht="15" customHeight="1" x14ac:dyDescent="0.2">
      <c r="A13" s="134" t="s">
        <v>429</v>
      </c>
      <c r="B13" s="649">
        <v>1.3</v>
      </c>
      <c r="C13" s="842" t="s">
        <v>28</v>
      </c>
      <c r="D13" s="148">
        <f>'23 EVA'!C40-'23 EVA'!C42</f>
        <v>319020.5</v>
      </c>
      <c r="E13" s="244"/>
      <c r="F13" s="148">
        <f>B13*D13</f>
        <v>414726.65</v>
      </c>
      <c r="G13" s="147">
        <f>F13+$C$8</f>
        <v>441298.09405488224</v>
      </c>
    </row>
    <row r="14" spans="1:7" ht="15" customHeight="1" x14ac:dyDescent="0.2">
      <c r="A14" s="1387" t="s">
        <v>857</v>
      </c>
      <c r="B14" s="241"/>
      <c r="C14" s="241"/>
      <c r="D14" s="241"/>
      <c r="E14" s="241"/>
      <c r="F14" s="241"/>
      <c r="G14" s="79"/>
    </row>
    <row r="15" spans="1:7" ht="15" customHeight="1" x14ac:dyDescent="0.2">
      <c r="A15" s="756" t="s">
        <v>430</v>
      </c>
      <c r="B15" s="1075">
        <v>0.33</v>
      </c>
      <c r="C15" s="1386" t="s">
        <v>165</v>
      </c>
      <c r="D15" s="745">
        <f>'18 Plán'!B11</f>
        <v>2054958</v>
      </c>
      <c r="E15" s="745">
        <f>B15*D15</f>
        <v>678136.14</v>
      </c>
      <c r="F15" s="745">
        <f>E15-$C$7</f>
        <v>508245.54000000004</v>
      </c>
      <c r="G15" s="1044">
        <f>F15+$C$8</f>
        <v>534816.98405488231</v>
      </c>
    </row>
    <row r="16" spans="1:7" ht="15" customHeight="1" x14ac:dyDescent="0.2">
      <c r="A16" s="212" t="s">
        <v>408</v>
      </c>
      <c r="B16" s="644">
        <v>11.31</v>
      </c>
      <c r="C16" s="1383" t="s">
        <v>854</v>
      </c>
      <c r="D16" s="495">
        <f>'18 Plán'!B44</f>
        <v>71962</v>
      </c>
      <c r="E16" s="495">
        <f>B16*D16</f>
        <v>813890.22000000009</v>
      </c>
      <c r="F16" s="495">
        <f>E16-$C$7</f>
        <v>643999.62000000011</v>
      </c>
      <c r="G16" s="490">
        <f>F16+$C$8</f>
        <v>670571.06405488239</v>
      </c>
    </row>
    <row r="17" spans="1:7" ht="15" customHeight="1" x14ac:dyDescent="0.2">
      <c r="A17" s="212" t="s">
        <v>830</v>
      </c>
      <c r="B17" s="644">
        <v>6.72</v>
      </c>
      <c r="C17" s="1383" t="s">
        <v>831</v>
      </c>
      <c r="D17" s="495">
        <f>D16+'18 Plán'!B48</f>
        <v>117334</v>
      </c>
      <c r="E17" s="495">
        <f>B17*D17</f>
        <v>788484.48</v>
      </c>
      <c r="F17" s="495">
        <f>E17-$C$7</f>
        <v>618593.88</v>
      </c>
      <c r="G17" s="490">
        <f>F17+$C$8</f>
        <v>645165.32405488228</v>
      </c>
    </row>
    <row r="18" spans="1:7" ht="15" customHeight="1" x14ac:dyDescent="0.2">
      <c r="A18" s="134" t="s">
        <v>832</v>
      </c>
      <c r="B18" s="649">
        <v>1.33</v>
      </c>
      <c r="C18" s="842" t="s">
        <v>865</v>
      </c>
      <c r="D18" s="148">
        <f>'16 Generátory'!F199</f>
        <v>488911.1</v>
      </c>
      <c r="E18" s="148">
        <f>B18*D18</f>
        <v>650251.76300000004</v>
      </c>
      <c r="F18" s="148">
        <f>E18-$C$7</f>
        <v>480361.16300000006</v>
      </c>
      <c r="G18" s="147">
        <f>F18+$C$8</f>
        <v>506932.60705488228</v>
      </c>
    </row>
    <row r="19" spans="1:7" ht="15" customHeight="1" x14ac:dyDescent="0.2">
      <c r="B19" s="70"/>
      <c r="C19" s="70"/>
    </row>
    <row r="20" spans="1:7" ht="15" customHeight="1" x14ac:dyDescent="0.2">
      <c r="A20" s="1368" t="s">
        <v>863</v>
      </c>
    </row>
    <row r="21" spans="1:7" x14ac:dyDescent="0.2">
      <c r="A21" s="1368" t="s">
        <v>864</v>
      </c>
    </row>
    <row r="22" spans="1:7" x14ac:dyDescent="0.2">
      <c r="A22" s="1388" t="s">
        <v>866</v>
      </c>
    </row>
  </sheetData>
  <mergeCells count="1">
    <mergeCell ref="C10:D10"/>
  </mergeCells>
  <hyperlinks>
    <hyperlink ref="G1" location="Obsah!A1" display="Skok na obsah" xr:uid="{00000000-0004-0000-19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E50"/>
  <sheetViews>
    <sheetView workbookViewId="0"/>
  </sheetViews>
  <sheetFormatPr defaultRowHeight="12.75" x14ac:dyDescent="0.2"/>
  <cols>
    <col min="1" max="1" width="37" customWidth="1"/>
    <col min="2" max="2" width="16.5703125" customWidth="1"/>
    <col min="3" max="3" width="16.28515625" customWidth="1"/>
    <col min="4" max="4" width="12.28515625" customWidth="1"/>
    <col min="5" max="5" width="12.85546875" customWidth="1"/>
  </cols>
  <sheetData>
    <row r="1" spans="1:5" ht="21" customHeight="1" x14ac:dyDescent="0.2">
      <c r="A1" s="486" t="s">
        <v>482</v>
      </c>
      <c r="E1" s="926" t="s">
        <v>557</v>
      </c>
    </row>
    <row r="2" spans="1:5" ht="9.75" customHeight="1" x14ac:dyDescent="0.2"/>
    <row r="3" spans="1:5" ht="13.5" customHeight="1" x14ac:dyDescent="0.2">
      <c r="A3" s="728" t="s">
        <v>785</v>
      </c>
      <c r="B3" s="875"/>
      <c r="C3" s="728"/>
      <c r="D3" s="876">
        <f>'7 Rozvaha'!G13</f>
        <v>7232</v>
      </c>
    </row>
    <row r="5" spans="1:5" ht="13.5" thickBot="1" x14ac:dyDescent="0.25">
      <c r="A5" s="465" t="s">
        <v>215</v>
      </c>
    </row>
    <row r="6" spans="1:5" ht="26.25" thickBot="1" x14ac:dyDescent="0.25">
      <c r="A6" s="207" t="s">
        <v>208</v>
      </c>
      <c r="B6" s="499" t="s">
        <v>209</v>
      </c>
      <c r="C6" s="505" t="s">
        <v>210</v>
      </c>
      <c r="D6" s="502" t="s">
        <v>211</v>
      </c>
    </row>
    <row r="7" spans="1:5" x14ac:dyDescent="0.2">
      <c r="B7" s="210">
        <v>42825</v>
      </c>
      <c r="C7" s="212">
        <v>3</v>
      </c>
      <c r="D7" s="208">
        <v>400</v>
      </c>
    </row>
    <row r="8" spans="1:5" x14ac:dyDescent="0.2">
      <c r="B8" s="210">
        <v>42916</v>
      </c>
      <c r="C8" s="212">
        <v>6</v>
      </c>
      <c r="D8" s="208">
        <v>400</v>
      </c>
    </row>
    <row r="9" spans="1:5" x14ac:dyDescent="0.2">
      <c r="B9" s="210">
        <v>43008</v>
      </c>
      <c r="C9" s="212">
        <v>9</v>
      </c>
      <c r="D9" s="208">
        <v>400</v>
      </c>
    </row>
    <row r="10" spans="1:5" x14ac:dyDescent="0.2">
      <c r="B10" s="214">
        <v>43100</v>
      </c>
      <c r="C10" s="134">
        <v>12</v>
      </c>
      <c r="D10" s="215">
        <v>400</v>
      </c>
    </row>
    <row r="11" spans="1:5" x14ac:dyDescent="0.2">
      <c r="B11" s="210">
        <v>43190</v>
      </c>
      <c r="C11" s="212">
        <v>15</v>
      </c>
      <c r="D11" s="208">
        <v>400</v>
      </c>
    </row>
    <row r="12" spans="1:5" x14ac:dyDescent="0.2">
      <c r="B12" s="210">
        <v>43281</v>
      </c>
      <c r="C12" s="212">
        <v>18</v>
      </c>
      <c r="D12" s="208">
        <v>400</v>
      </c>
    </row>
    <row r="13" spans="1:5" x14ac:dyDescent="0.2">
      <c r="B13" s="210">
        <v>43373</v>
      </c>
      <c r="C13" s="212">
        <v>21</v>
      </c>
      <c r="D13" s="208">
        <v>400</v>
      </c>
    </row>
    <row r="14" spans="1:5" ht="13.5" thickBot="1" x14ac:dyDescent="0.25">
      <c r="B14" s="210">
        <v>43465</v>
      </c>
      <c r="C14" s="212">
        <v>24</v>
      </c>
      <c r="D14" s="208">
        <v>400</v>
      </c>
    </row>
    <row r="15" spans="1:5" ht="13.5" thickBot="1" x14ac:dyDescent="0.25">
      <c r="B15" s="211" t="s">
        <v>108</v>
      </c>
      <c r="C15" s="213"/>
      <c r="D15" s="209">
        <f>SUM(D7:D14)</f>
        <v>3200</v>
      </c>
    </row>
    <row r="17" spans="1:4" ht="13.5" thickBot="1" x14ac:dyDescent="0.25">
      <c r="A17" s="1" t="s">
        <v>212</v>
      </c>
    </row>
    <row r="18" spans="1:4" x14ac:dyDescent="0.2">
      <c r="A18" s="218" t="s">
        <v>213</v>
      </c>
      <c r="B18" s="219"/>
      <c r="C18" s="219"/>
      <c r="D18" s="220">
        <v>5000</v>
      </c>
    </row>
    <row r="19" spans="1:4" ht="13.5" thickBot="1" x14ac:dyDescent="0.25">
      <c r="A19" s="216" t="s">
        <v>214</v>
      </c>
      <c r="B19" s="13"/>
      <c r="C19" s="13"/>
      <c r="D19" s="217">
        <f>MIN(D18,D3-D15)</f>
        <v>4032</v>
      </c>
    </row>
    <row r="21" spans="1:4" x14ac:dyDescent="0.2">
      <c r="A21" s="465" t="s">
        <v>216</v>
      </c>
    </row>
    <row r="22" spans="1:4" x14ac:dyDescent="0.2">
      <c r="A22" s="89" t="s">
        <v>225</v>
      </c>
      <c r="B22" s="241"/>
      <c r="C22" s="241"/>
      <c r="D22" s="79">
        <v>10.5</v>
      </c>
    </row>
    <row r="23" spans="1:4" x14ac:dyDescent="0.2">
      <c r="A23" s="433" t="s">
        <v>217</v>
      </c>
      <c r="B23" s="434"/>
      <c r="C23" s="434"/>
      <c r="D23" s="242"/>
    </row>
    <row r="24" spans="1:4" ht="15.75" x14ac:dyDescent="0.3">
      <c r="A24" s="435"/>
      <c r="B24" t="s">
        <v>681</v>
      </c>
      <c r="C24">
        <f>15-1-1-1.5-1-0+0-1-0</f>
        <v>9.5</v>
      </c>
      <c r="D24" s="243"/>
    </row>
    <row r="25" spans="1:4" ht="15.75" x14ac:dyDescent="0.3">
      <c r="A25" s="435"/>
      <c r="B25" t="s">
        <v>642</v>
      </c>
      <c r="C25">
        <f>15-0.5-0.5-0.7-0.5-0+0-0.5-0</f>
        <v>12.3</v>
      </c>
      <c r="D25" s="243"/>
    </row>
    <row r="26" spans="1:4" x14ac:dyDescent="0.2">
      <c r="A26" s="437"/>
      <c r="B26" s="244" t="s">
        <v>218</v>
      </c>
      <c r="C26" s="244">
        <v>1</v>
      </c>
      <c r="D26" s="702"/>
    </row>
    <row r="27" spans="1:4" x14ac:dyDescent="0.2">
      <c r="A27" s="809" t="s">
        <v>208</v>
      </c>
      <c r="D27" s="243"/>
    </row>
    <row r="28" spans="1:4" x14ac:dyDescent="0.2">
      <c r="A28" s="435" t="s">
        <v>219</v>
      </c>
      <c r="D28" s="243">
        <f>C24*C26</f>
        <v>9.5</v>
      </c>
    </row>
    <row r="29" spans="1:4" x14ac:dyDescent="0.2">
      <c r="A29" s="877" t="s">
        <v>220</v>
      </c>
      <c r="B29" s="875"/>
      <c r="C29" s="875"/>
      <c r="D29" s="1065">
        <f>D22+D28</f>
        <v>20</v>
      </c>
    </row>
    <row r="30" spans="1:4" x14ac:dyDescent="0.2">
      <c r="A30" s="809" t="s">
        <v>221</v>
      </c>
      <c r="D30" s="243"/>
    </row>
    <row r="31" spans="1:4" x14ac:dyDescent="0.2">
      <c r="A31" s="435" t="s">
        <v>219</v>
      </c>
      <c r="D31" s="243">
        <f>C25*C26</f>
        <v>12.3</v>
      </c>
    </row>
    <row r="32" spans="1:4" x14ac:dyDescent="0.2">
      <c r="A32" s="878" t="s">
        <v>220</v>
      </c>
      <c r="B32" s="879"/>
      <c r="C32" s="879"/>
      <c r="D32" s="880">
        <f>D22+D31</f>
        <v>22.8</v>
      </c>
    </row>
    <row r="34" spans="1:5" ht="13.5" thickBot="1" x14ac:dyDescent="0.25">
      <c r="A34" s="465" t="s">
        <v>222</v>
      </c>
    </row>
    <row r="35" spans="1:5" ht="26.25" thickBot="1" x14ac:dyDescent="0.25">
      <c r="A35" s="221" t="s">
        <v>208</v>
      </c>
      <c r="B35" s="499" t="s">
        <v>209</v>
      </c>
      <c r="C35" s="505" t="s">
        <v>210</v>
      </c>
      <c r="D35" s="502" t="s">
        <v>211</v>
      </c>
      <c r="E35" s="528" t="s">
        <v>223</v>
      </c>
    </row>
    <row r="36" spans="1:5" x14ac:dyDescent="0.2">
      <c r="B36" s="210">
        <f>B7</f>
        <v>42825</v>
      </c>
      <c r="C36" s="212">
        <v>3</v>
      </c>
      <c r="D36" s="208">
        <v>400</v>
      </c>
      <c r="E36" s="208">
        <f>D36/(1+$D$29/100)^(C36/12)</f>
        <v>382.17711688174671</v>
      </c>
    </row>
    <row r="37" spans="1:5" x14ac:dyDescent="0.2">
      <c r="B37" s="210">
        <f t="shared" ref="B37:B43" si="0">B8</f>
        <v>42916</v>
      </c>
      <c r="C37" s="212">
        <v>6</v>
      </c>
      <c r="D37" s="208">
        <v>400</v>
      </c>
      <c r="E37" s="208">
        <f t="shared" ref="E37:E43" si="1">D37/(1+$D$29/100)^(C37/12)</f>
        <v>365.14837167011075</v>
      </c>
    </row>
    <row r="38" spans="1:5" x14ac:dyDescent="0.2">
      <c r="B38" s="210">
        <f t="shared" si="0"/>
        <v>43008</v>
      </c>
      <c r="C38" s="212">
        <v>9</v>
      </c>
      <c r="D38" s="208">
        <v>400</v>
      </c>
      <c r="E38" s="208">
        <f t="shared" si="1"/>
        <v>348.87837979736855</v>
      </c>
    </row>
    <row r="39" spans="1:5" x14ac:dyDescent="0.2">
      <c r="B39" s="214">
        <f t="shared" si="0"/>
        <v>43100</v>
      </c>
      <c r="C39" s="134">
        <v>12</v>
      </c>
      <c r="D39" s="215">
        <v>400</v>
      </c>
      <c r="E39" s="215">
        <f t="shared" si="1"/>
        <v>333.33333333333337</v>
      </c>
    </row>
    <row r="40" spans="1:5" x14ac:dyDescent="0.2">
      <c r="B40" s="210">
        <f t="shared" si="0"/>
        <v>43190</v>
      </c>
      <c r="C40" s="212">
        <v>15</v>
      </c>
      <c r="D40" s="208">
        <v>400</v>
      </c>
      <c r="E40" s="208">
        <f t="shared" si="1"/>
        <v>318.48093073478896</v>
      </c>
    </row>
    <row r="41" spans="1:5" x14ac:dyDescent="0.2">
      <c r="B41" s="210">
        <f t="shared" si="0"/>
        <v>43281</v>
      </c>
      <c r="C41" s="212">
        <v>18</v>
      </c>
      <c r="D41" s="208">
        <v>400</v>
      </c>
      <c r="E41" s="208">
        <f t="shared" si="1"/>
        <v>304.2903097250923</v>
      </c>
    </row>
    <row r="42" spans="1:5" x14ac:dyDescent="0.2">
      <c r="B42" s="210">
        <f t="shared" si="0"/>
        <v>43373</v>
      </c>
      <c r="C42" s="212">
        <v>21</v>
      </c>
      <c r="D42" s="208">
        <v>400</v>
      </c>
      <c r="E42" s="208">
        <f t="shared" si="1"/>
        <v>290.73198316447377</v>
      </c>
    </row>
    <row r="43" spans="1:5" ht="13.5" thickBot="1" x14ac:dyDescent="0.25">
      <c r="B43" s="210">
        <f t="shared" si="0"/>
        <v>43465</v>
      </c>
      <c r="C43" s="212">
        <v>24</v>
      </c>
      <c r="D43" s="208">
        <v>400</v>
      </c>
      <c r="E43" s="208">
        <f t="shared" si="1"/>
        <v>277.77777777777777</v>
      </c>
    </row>
    <row r="44" spans="1:5" ht="13.5" thickBot="1" x14ac:dyDescent="0.25">
      <c r="B44" s="211" t="s">
        <v>108</v>
      </c>
      <c r="C44" s="213"/>
      <c r="D44" s="209">
        <f>SUM(D36:D43)</f>
        <v>3200</v>
      </c>
      <c r="E44" s="881">
        <f>SUM(E36:E43)</f>
        <v>2620.818203084692</v>
      </c>
    </row>
    <row r="46" spans="1:5" x14ac:dyDescent="0.2">
      <c r="A46" s="1" t="s">
        <v>221</v>
      </c>
    </row>
    <row r="47" spans="1:5" ht="13.5" thickBot="1" x14ac:dyDescent="0.25">
      <c r="A47" t="s">
        <v>226</v>
      </c>
      <c r="E47">
        <f>C43+12</f>
        <v>36</v>
      </c>
    </row>
    <row r="48" spans="1:5" ht="13.5" thickBot="1" x14ac:dyDescent="0.25">
      <c r="E48" s="882">
        <f>D19/(1+D32/100)^(E47/12)</f>
        <v>2177.335848490327</v>
      </c>
    </row>
    <row r="49" spans="1:5" ht="13.5" thickBot="1" x14ac:dyDescent="0.25"/>
    <row r="50" spans="1:5" ht="13.5" thickBot="1" x14ac:dyDescent="0.25">
      <c r="A50" s="465" t="s">
        <v>509</v>
      </c>
      <c r="E50" s="222">
        <f>ROUND(E44+E48,0)</f>
        <v>4798</v>
      </c>
    </row>
  </sheetData>
  <phoneticPr fontId="0" type="noConversion"/>
  <hyperlinks>
    <hyperlink ref="E1" location="Obsah!A1" display="Skok na obsah" xr:uid="{00000000-0004-0000-1A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28"/>
  <sheetViews>
    <sheetView workbookViewId="0"/>
  </sheetViews>
  <sheetFormatPr defaultRowHeight="12.75" x14ac:dyDescent="0.2"/>
  <cols>
    <col min="1" max="1" width="50.42578125" customWidth="1"/>
    <col min="2" max="2" width="9.5703125" bestFit="1" customWidth="1"/>
    <col min="4" max="4" width="12.42578125" customWidth="1"/>
    <col min="6" max="6" width="4.7109375" customWidth="1"/>
  </cols>
  <sheetData>
    <row r="1" spans="1:6" ht="21" customHeight="1" x14ac:dyDescent="0.2">
      <c r="A1" s="486" t="s">
        <v>483</v>
      </c>
      <c r="E1" s="1497" t="s">
        <v>557</v>
      </c>
      <c r="F1" s="1497"/>
    </row>
    <row r="3" spans="1:6" x14ac:dyDescent="0.2">
      <c r="A3" s="465" t="s">
        <v>511</v>
      </c>
    </row>
    <row r="5" spans="1:6" x14ac:dyDescent="0.2">
      <c r="A5" s="77" t="s">
        <v>786</v>
      </c>
      <c r="B5" s="145">
        <f>'7 Rozvaha'!G12</f>
        <v>1274</v>
      </c>
      <c r="C5" s="79" t="s">
        <v>224</v>
      </c>
    </row>
    <row r="7" spans="1:6" x14ac:dyDescent="0.2">
      <c r="A7" s="756" t="s">
        <v>227</v>
      </c>
      <c r="B7" s="433">
        <v>7</v>
      </c>
      <c r="C7" s="242"/>
    </row>
    <row r="8" spans="1:6" x14ac:dyDescent="0.2">
      <c r="A8" s="212" t="s">
        <v>403</v>
      </c>
      <c r="B8" s="435">
        <f>'8 Výsledovka'!H23</f>
        <v>63.7</v>
      </c>
      <c r="C8" s="243" t="s">
        <v>224</v>
      </c>
    </row>
    <row r="9" spans="1:6" x14ac:dyDescent="0.2">
      <c r="A9" s="212" t="s">
        <v>654</v>
      </c>
      <c r="B9" s="883">
        <f>B8*(1-B11)</f>
        <v>51.597000000000008</v>
      </c>
      <c r="C9" s="243" t="s">
        <v>224</v>
      </c>
    </row>
    <row r="10" spans="1:6" x14ac:dyDescent="0.2">
      <c r="A10" s="134" t="s">
        <v>510</v>
      </c>
      <c r="B10" s="884">
        <v>7.0000000000000007E-2</v>
      </c>
      <c r="C10" s="702"/>
    </row>
    <row r="11" spans="1:6" x14ac:dyDescent="0.2">
      <c r="A11" s="1368" t="s">
        <v>873</v>
      </c>
      <c r="B11" s="1020">
        <v>0.19</v>
      </c>
    </row>
    <row r="13" spans="1:6" x14ac:dyDescent="0.2">
      <c r="A13" s="465" t="s">
        <v>228</v>
      </c>
    </row>
    <row r="14" spans="1:6" x14ac:dyDescent="0.2">
      <c r="A14" s="465"/>
    </row>
    <row r="15" spans="1:6" x14ac:dyDescent="0.2">
      <c r="A15" s="433" t="s">
        <v>512</v>
      </c>
      <c r="B15" s="1085">
        <f>(1-1/(1+B10)^B7)/B10</f>
        <v>5.3892894016486981</v>
      </c>
      <c r="C15" s="242"/>
    </row>
    <row r="16" spans="1:6" x14ac:dyDescent="0.2">
      <c r="A16" s="435" t="s">
        <v>513</v>
      </c>
      <c r="B16" s="493">
        <f>B15*B9</f>
        <v>278.07116525686791</v>
      </c>
      <c r="C16" s="243" t="s">
        <v>224</v>
      </c>
    </row>
    <row r="17" spans="1:3" x14ac:dyDescent="0.2">
      <c r="A17" s="437" t="s">
        <v>514</v>
      </c>
      <c r="B17" s="149">
        <f>B5/(1+B10)^B7</f>
        <v>793.38317116096903</v>
      </c>
      <c r="C17" s="702" t="s">
        <v>224</v>
      </c>
    </row>
    <row r="18" spans="1:3" x14ac:dyDescent="0.2">
      <c r="A18" s="822" t="s">
        <v>515</v>
      </c>
      <c r="B18" s="885">
        <f>ROUND(B16+B17,0)</f>
        <v>1071</v>
      </c>
      <c r="C18" s="845" t="s">
        <v>224</v>
      </c>
    </row>
    <row r="20" spans="1:3" x14ac:dyDescent="0.2">
      <c r="B20" s="12"/>
    </row>
    <row r="21" spans="1:3" x14ac:dyDescent="0.2">
      <c r="B21" s="23"/>
    </row>
    <row r="22" spans="1:3" x14ac:dyDescent="0.2">
      <c r="B22" s="23"/>
    </row>
    <row r="23" spans="1:3" x14ac:dyDescent="0.2">
      <c r="B23" s="23"/>
    </row>
    <row r="24" spans="1:3" x14ac:dyDescent="0.2">
      <c r="B24" s="23"/>
    </row>
    <row r="25" spans="1:3" x14ac:dyDescent="0.2">
      <c r="B25" s="23"/>
    </row>
    <row r="26" spans="1:3" x14ac:dyDescent="0.2">
      <c r="B26" s="23"/>
    </row>
    <row r="27" spans="1:3" x14ac:dyDescent="0.2">
      <c r="B27" s="23"/>
    </row>
    <row r="28" spans="1:3" x14ac:dyDescent="0.2">
      <c r="B28" s="61"/>
    </row>
  </sheetData>
  <mergeCells count="1">
    <mergeCell ref="E1:F1"/>
  </mergeCells>
  <phoneticPr fontId="0" type="noConversion"/>
  <hyperlinks>
    <hyperlink ref="E1" location="Obsah!A1" display="Skok na obsah" xr:uid="{00000000-0004-0000-1B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31"/>
  <sheetViews>
    <sheetView workbookViewId="0"/>
  </sheetViews>
  <sheetFormatPr defaultRowHeight="12.75" x14ac:dyDescent="0.2"/>
  <cols>
    <col min="1" max="1" width="11.85546875" customWidth="1"/>
    <col min="2" max="3" width="13.5703125" customWidth="1"/>
    <col min="4" max="4" width="9.85546875" customWidth="1"/>
    <col min="5" max="5" width="15.28515625" customWidth="1"/>
  </cols>
  <sheetData>
    <row r="1" spans="1:8" ht="18" customHeight="1" x14ac:dyDescent="0.25">
      <c r="A1" s="785" t="s">
        <v>545</v>
      </c>
      <c r="G1" s="925"/>
      <c r="H1" s="926" t="s">
        <v>557</v>
      </c>
    </row>
    <row r="2" spans="1:8" ht="11.25" customHeight="1" x14ac:dyDescent="0.25">
      <c r="A2" s="785"/>
    </row>
    <row r="3" spans="1:8" ht="18" customHeight="1" x14ac:dyDescent="0.2">
      <c r="A3" s="433" t="s">
        <v>546</v>
      </c>
      <c r="B3" s="242"/>
      <c r="C3" s="806">
        <f>'22 DCF'!C69</f>
        <v>560472</v>
      </c>
      <c r="D3" s="242" t="s">
        <v>247</v>
      </c>
    </row>
    <row r="4" spans="1:8" ht="18" customHeight="1" x14ac:dyDescent="0.2">
      <c r="A4" s="435" t="s">
        <v>547</v>
      </c>
      <c r="B4" s="243"/>
      <c r="C4" s="12">
        <f>'23 EVA'!C45</f>
        <v>560471.93101934576</v>
      </c>
      <c r="D4" s="243" t="s">
        <v>247</v>
      </c>
    </row>
    <row r="5" spans="1:8" ht="18" customHeight="1" x14ac:dyDescent="0.2">
      <c r="A5" s="437" t="s">
        <v>554</v>
      </c>
      <c r="B5" s="702"/>
      <c r="C5" s="469">
        <f>'24 KČV'!B34</f>
        <v>236138.2014455348</v>
      </c>
      <c r="D5" s="702" t="s">
        <v>247</v>
      </c>
    </row>
    <row r="6" spans="1:8" ht="18" customHeight="1" x14ac:dyDescent="0.2">
      <c r="C6" s="12"/>
    </row>
    <row r="9" spans="1:8" ht="15.75" x14ac:dyDescent="0.25">
      <c r="A9" s="785" t="s">
        <v>862</v>
      </c>
    </row>
    <row r="11" spans="1:8" ht="15" customHeight="1" x14ac:dyDescent="0.2">
      <c r="A11" s="433" t="s">
        <v>407</v>
      </c>
      <c r="B11" s="1390"/>
      <c r="C11" s="1045">
        <f>'25 Tržní porovnání'!G12</f>
        <v>684830.8878548824</v>
      </c>
      <c r="D11" s="242" t="s">
        <v>247</v>
      </c>
      <c r="E11" s="69"/>
    </row>
    <row r="12" spans="1:8" ht="15" customHeight="1" x14ac:dyDescent="0.2">
      <c r="A12" s="437" t="s">
        <v>429</v>
      </c>
      <c r="B12" s="1391"/>
      <c r="C12" s="12">
        <f>'25 Tržní porovnání'!G13</f>
        <v>441298.09405488224</v>
      </c>
      <c r="D12" s="243" t="s">
        <v>247</v>
      </c>
    </row>
    <row r="13" spans="1:8" ht="15" customHeight="1" x14ac:dyDescent="0.2">
      <c r="A13" s="435" t="s">
        <v>430</v>
      </c>
      <c r="B13" s="1392"/>
      <c r="C13" s="1045">
        <f>'25 Tržní porovnání'!G15</f>
        <v>534816.98405488231</v>
      </c>
      <c r="D13" s="242" t="s">
        <v>247</v>
      </c>
    </row>
    <row r="14" spans="1:8" ht="15" customHeight="1" x14ac:dyDescent="0.2">
      <c r="A14" s="435" t="s">
        <v>408</v>
      </c>
      <c r="B14" s="1392"/>
      <c r="C14" s="493">
        <f>'25 Tržní porovnání'!G16</f>
        <v>670571.06405488239</v>
      </c>
      <c r="D14" s="243" t="s">
        <v>247</v>
      </c>
      <c r="E14" s="69"/>
    </row>
    <row r="15" spans="1:8" ht="15" customHeight="1" x14ac:dyDescent="0.2">
      <c r="A15" s="435" t="s">
        <v>830</v>
      </c>
      <c r="B15" s="1392"/>
      <c r="C15" s="493">
        <f>'25 Tržní porovnání'!G17</f>
        <v>645165.32405488228</v>
      </c>
      <c r="D15" s="243" t="s">
        <v>247</v>
      </c>
      <c r="E15" s="921"/>
    </row>
    <row r="16" spans="1:8" ht="15" customHeight="1" x14ac:dyDescent="0.2">
      <c r="A16" s="437" t="s">
        <v>832</v>
      </c>
      <c r="B16" s="1391"/>
      <c r="C16" s="149">
        <f>'25 Tržní porovnání'!G18</f>
        <v>506932.60705488228</v>
      </c>
      <c r="D16" s="702" t="s">
        <v>247</v>
      </c>
    </row>
    <row r="17" spans="1:5" ht="15" customHeight="1" x14ac:dyDescent="0.2">
      <c r="B17" s="70"/>
      <c r="C17" s="70"/>
      <c r="E17" s="921"/>
    </row>
    <row r="18" spans="1:5" ht="18" customHeight="1" x14ac:dyDescent="0.25">
      <c r="A18" s="785" t="s">
        <v>548</v>
      </c>
    </row>
    <row r="19" spans="1:5" ht="12.75" customHeight="1" x14ac:dyDescent="0.25">
      <c r="A19" s="785"/>
    </row>
    <row r="20" spans="1:5" ht="18" customHeight="1" x14ac:dyDescent="0.2">
      <c r="A20" s="433" t="s">
        <v>549</v>
      </c>
      <c r="B20" s="242"/>
      <c r="C20" s="806">
        <f>'7 Rozvaha'!G27</f>
        <v>342903.54405488214</v>
      </c>
      <c r="D20" s="242" t="s">
        <v>247</v>
      </c>
    </row>
    <row r="21" spans="1:5" ht="18" customHeight="1" x14ac:dyDescent="0.2">
      <c r="A21" s="435" t="s">
        <v>550</v>
      </c>
      <c r="B21" s="243"/>
      <c r="C21" s="12">
        <v>310000</v>
      </c>
      <c r="D21" s="243" t="s">
        <v>247</v>
      </c>
    </row>
    <row r="22" spans="1:5" ht="18" customHeight="1" x14ac:dyDescent="0.2">
      <c r="A22" s="437" t="s">
        <v>551</v>
      </c>
      <c r="B22" s="702"/>
      <c r="C22" s="469">
        <v>90500</v>
      </c>
      <c r="D22" s="702" t="s">
        <v>247</v>
      </c>
    </row>
    <row r="24" spans="1:5" ht="15" customHeight="1" x14ac:dyDescent="0.2"/>
    <row r="25" spans="1:5" ht="15.75" x14ac:dyDescent="0.25">
      <c r="A25" s="785" t="s">
        <v>787</v>
      </c>
    </row>
    <row r="26" spans="1:5" ht="13.5" thickBot="1" x14ac:dyDescent="0.25"/>
    <row r="27" spans="1:5" ht="19.5" customHeight="1" thickBot="1" x14ac:dyDescent="0.25">
      <c r="A27" s="917" t="s">
        <v>553</v>
      </c>
      <c r="B27" s="918"/>
      <c r="C27" s="919">
        <f>ROUND(C3,-3)</f>
        <v>560000</v>
      </c>
      <c r="D27" s="920" t="s">
        <v>247</v>
      </c>
    </row>
    <row r="29" spans="1:5" ht="21.75" customHeight="1" x14ac:dyDescent="0.2">
      <c r="A29" s="914" t="s">
        <v>657</v>
      </c>
      <c r="B29" s="79"/>
      <c r="C29" s="916">
        <f>ROUND(C27-C5,-3)</f>
        <v>324000</v>
      </c>
      <c r="D29" s="915" t="s">
        <v>247</v>
      </c>
    </row>
    <row r="30" spans="1:5" ht="21.75" customHeight="1" x14ac:dyDescent="0.2">
      <c r="A30" s="241"/>
      <c r="B30" s="241"/>
      <c r="C30" s="90"/>
      <c r="D30" s="1083"/>
    </row>
    <row r="31" spans="1:5" ht="21.75" customHeight="1" x14ac:dyDescent="0.2">
      <c r="A31" s="914" t="s">
        <v>552</v>
      </c>
      <c r="B31" s="915"/>
      <c r="C31" s="916">
        <f>C27-C21</f>
        <v>250000</v>
      </c>
      <c r="D31" s="915" t="s">
        <v>247</v>
      </c>
    </row>
  </sheetData>
  <phoneticPr fontId="0" type="noConversion"/>
  <hyperlinks>
    <hyperlink ref="H1" location="Obsah!A1" display="Skok na obsah" xr:uid="{00000000-0004-0000-1C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4"/>
  <sheetViews>
    <sheetView workbookViewId="0"/>
  </sheetViews>
  <sheetFormatPr defaultRowHeight="12.75" x14ac:dyDescent="0.2"/>
  <cols>
    <col min="1" max="1" width="30.7109375" customWidth="1"/>
    <col min="2" max="2" width="11.7109375" customWidth="1"/>
    <col min="3" max="3" width="10.42578125" customWidth="1"/>
    <col min="9" max="9" width="10.140625" customWidth="1"/>
    <col min="10" max="10" width="1" customWidth="1"/>
  </cols>
  <sheetData>
    <row r="1" spans="1:9" s="487" customFormat="1" ht="21" customHeight="1" x14ac:dyDescent="0.2">
      <c r="A1" s="486" t="s">
        <v>433</v>
      </c>
      <c r="I1" s="926" t="s">
        <v>557</v>
      </c>
    </row>
    <row r="2" spans="1:9" s="487" customFormat="1" ht="21" customHeight="1" x14ac:dyDescent="0.2">
      <c r="A2" s="488" t="s">
        <v>801</v>
      </c>
    </row>
    <row r="3" spans="1:9" x14ac:dyDescent="0.2">
      <c r="A3" s="968"/>
      <c r="B3" s="969"/>
      <c r="C3" s="968" t="s">
        <v>592</v>
      </c>
      <c r="D3" s="968" t="s">
        <v>593</v>
      </c>
    </row>
    <row r="4" spans="1:9" ht="38.25" x14ac:dyDescent="0.2">
      <c r="A4" s="970" t="s">
        <v>96</v>
      </c>
      <c r="B4" s="971" t="s">
        <v>790</v>
      </c>
      <c r="C4" s="971" t="s">
        <v>803</v>
      </c>
      <c r="D4" s="970" t="s">
        <v>802</v>
      </c>
    </row>
    <row r="5" spans="1:9" x14ac:dyDescent="0.2">
      <c r="A5" s="966">
        <f>'4 Vnější potenciál'!A4</f>
        <v>1995</v>
      </c>
      <c r="B5" s="1228">
        <f>'4 Vnější potenciál'!H4</f>
        <v>205.220527535</v>
      </c>
      <c r="C5" s="1235">
        <f>'4 Vnější potenciál'!B4</f>
        <v>769.5</v>
      </c>
      <c r="D5" s="974">
        <f>LN(B5)</f>
        <v>5.324085145013548</v>
      </c>
    </row>
    <row r="6" spans="1:9" x14ac:dyDescent="0.2">
      <c r="A6" s="966">
        <f>'4 Vnější potenciál'!A5</f>
        <v>1996</v>
      </c>
      <c r="B6" s="1228">
        <f>'4 Vnější potenciál'!H5</f>
        <v>232.79688650400001</v>
      </c>
      <c r="C6" s="1236">
        <f>'4 Vnější potenciál'!B5</f>
        <v>892</v>
      </c>
      <c r="D6" s="975">
        <f t="shared" ref="D6:D25" si="0">LN(B6)</f>
        <v>5.4501663416441373</v>
      </c>
    </row>
    <row r="7" spans="1:9" x14ac:dyDescent="0.2">
      <c r="A7" s="966">
        <f>'4 Vnější potenciál'!A6</f>
        <v>1997</v>
      </c>
      <c r="B7" s="1228">
        <f>'4 Vnější potenciál'!H6</f>
        <v>250.01787313</v>
      </c>
      <c r="C7" s="1236">
        <f>'4 Vnější potenciál'!B6</f>
        <v>997.4</v>
      </c>
      <c r="D7" s="975">
        <f t="shared" si="0"/>
        <v>5.5215324078267782</v>
      </c>
    </row>
    <row r="8" spans="1:9" x14ac:dyDescent="0.2">
      <c r="A8" s="966">
        <f>'4 Vnější potenciál'!A7</f>
        <v>1998</v>
      </c>
      <c r="B8" s="1228">
        <f>'4 Vnější potenciál'!H7</f>
        <v>265.66100411500003</v>
      </c>
      <c r="C8" s="1236">
        <f>'4 Vnější potenciál'!B7</f>
        <v>1075.0999999999999</v>
      </c>
      <c r="D8" s="975">
        <f t="shared" si="0"/>
        <v>5.5822210753968307</v>
      </c>
    </row>
    <row r="9" spans="1:9" x14ac:dyDescent="0.2">
      <c r="A9" s="966">
        <f>'4 Vnější potenciál'!A8</f>
        <v>1999</v>
      </c>
      <c r="B9" s="1228">
        <f>'4 Vnější potenciál'!H8</f>
        <v>262.15957808000002</v>
      </c>
      <c r="C9" s="1236">
        <f>'4 Vnější potenciál'!B8</f>
        <v>1132.9000000000001</v>
      </c>
      <c r="D9" s="975">
        <f t="shared" si="0"/>
        <v>5.568953394990424</v>
      </c>
    </row>
    <row r="10" spans="1:9" x14ac:dyDescent="0.2">
      <c r="A10" s="966">
        <f>'4 Vnější potenciál'!A9</f>
        <v>2000</v>
      </c>
      <c r="B10" s="1228">
        <f>'4 Vnější potenciál'!H9</f>
        <v>265.36956999900002</v>
      </c>
      <c r="C10" s="1236">
        <f>'4 Vnější potenciál'!B9</f>
        <v>1191.0999999999999</v>
      </c>
      <c r="D10" s="975">
        <f t="shared" si="0"/>
        <v>5.5811234581993823</v>
      </c>
    </row>
    <row r="11" spans="1:9" x14ac:dyDescent="0.2">
      <c r="A11" s="966">
        <f>'4 Vnější potenciál'!A10</f>
        <v>2001</v>
      </c>
      <c r="B11" s="1228">
        <f>'4 Vnější potenciál'!H10</f>
        <v>277.93443532800001</v>
      </c>
      <c r="C11" s="1236">
        <f>'4 Vnější potenciál'!B10</f>
        <v>1270.0999999999999</v>
      </c>
      <c r="D11" s="975">
        <f t="shared" si="0"/>
        <v>5.6273852417311483</v>
      </c>
    </row>
    <row r="12" spans="1:9" x14ac:dyDescent="0.2">
      <c r="A12" s="966">
        <f>'4 Vnější potenciál'!A11</f>
        <v>2002</v>
      </c>
      <c r="B12" s="1228">
        <f>'4 Vnější potenciál'!H11</f>
        <v>280.52128499999998</v>
      </c>
      <c r="C12" s="1236">
        <f>'4 Vnější potenciál'!B11</f>
        <v>1325.4</v>
      </c>
      <c r="D12" s="975">
        <f t="shared" si="0"/>
        <v>5.636649604436772</v>
      </c>
    </row>
    <row r="13" spans="1:9" x14ac:dyDescent="0.2">
      <c r="A13" s="966">
        <f>'4 Vnější potenciál'!A12</f>
        <v>2003</v>
      </c>
      <c r="B13" s="1228">
        <f>'4 Vnější potenciál'!H12</f>
        <v>285.901269275</v>
      </c>
      <c r="C13" s="1236">
        <f>'4 Vnější potenciál'!B12</f>
        <v>1390.4</v>
      </c>
      <c r="D13" s="975">
        <f t="shared" si="0"/>
        <v>5.6556465388951862</v>
      </c>
    </row>
    <row r="14" spans="1:9" x14ac:dyDescent="0.2">
      <c r="A14" s="966">
        <f>'4 Vnější potenciál'!A13</f>
        <v>2004</v>
      </c>
      <c r="B14" s="1228">
        <f>'4 Vnější potenciál'!H13</f>
        <v>292.50999933399999</v>
      </c>
      <c r="C14" s="1236">
        <f>'4 Vnější potenciál'!B13</f>
        <v>1481.5</v>
      </c>
      <c r="D14" s="975">
        <f t="shared" si="0"/>
        <v>5.6784988518448563</v>
      </c>
    </row>
    <row r="15" spans="1:9" x14ac:dyDescent="0.2">
      <c r="A15" s="966">
        <f>'4 Vnější potenciál'!A14</f>
        <v>2005</v>
      </c>
      <c r="B15" s="1228">
        <f>'4 Vnější potenciál'!H14</f>
        <v>298.40565453599999</v>
      </c>
      <c r="C15" s="1236">
        <f>'4 Vnější potenciál'!B14</f>
        <v>1544.7</v>
      </c>
      <c r="D15" s="975">
        <f t="shared" si="0"/>
        <v>5.6984538176674926</v>
      </c>
    </row>
    <row r="16" spans="1:9" x14ac:dyDescent="0.2">
      <c r="A16" s="966">
        <f>'4 Vnější potenciál'!A15</f>
        <v>2006</v>
      </c>
      <c r="B16" s="1228">
        <f>'4 Vnější potenciál'!H15</f>
        <v>318.77935830000001</v>
      </c>
      <c r="C16" s="1236">
        <f>'4 Vnější potenciál'!B15</f>
        <v>1631</v>
      </c>
      <c r="D16" s="975">
        <f t="shared" si="0"/>
        <v>5.7644991967018679</v>
      </c>
    </row>
    <row r="17" spans="1:4" x14ac:dyDescent="0.2">
      <c r="A17" s="966">
        <f>'4 Vnější potenciál'!A16</f>
        <v>2007</v>
      </c>
      <c r="B17" s="1228">
        <f>'4 Vnější potenciál'!H16</f>
        <v>334.38286477700001</v>
      </c>
      <c r="C17" s="1236">
        <f>'4 Vnější potenciál'!B16</f>
        <v>1749.5</v>
      </c>
      <c r="D17" s="975">
        <f t="shared" si="0"/>
        <v>5.8122866382020719</v>
      </c>
    </row>
    <row r="18" spans="1:4" x14ac:dyDescent="0.2">
      <c r="A18" s="966">
        <f>'4 Vnější potenciál'!A17</f>
        <v>2008</v>
      </c>
      <c r="B18" s="1228">
        <f>'4 Vnější potenciál'!H17</f>
        <v>363.53734435199999</v>
      </c>
      <c r="C18" s="1236">
        <f>'4 Vnější potenciál'!B17</f>
        <v>1887</v>
      </c>
      <c r="D18" s="975">
        <f t="shared" si="0"/>
        <v>5.8958820271904546</v>
      </c>
    </row>
    <row r="19" spans="1:4" x14ac:dyDescent="0.2">
      <c r="A19" s="966">
        <f>'4 Vnější potenciál'!A18</f>
        <v>2009</v>
      </c>
      <c r="B19" s="1228">
        <f>'4 Vnější potenciál'!H18</f>
        <v>376.18293715200002</v>
      </c>
      <c r="C19" s="1236">
        <f>'4 Vnější potenciál'!B18</f>
        <v>1890.9</v>
      </c>
      <c r="D19" s="975">
        <f t="shared" si="0"/>
        <v>5.9300755600488513</v>
      </c>
    </row>
    <row r="20" spans="1:4" x14ac:dyDescent="0.2">
      <c r="A20" s="966">
        <f>'4 Vnější potenciál'!A19</f>
        <v>2010</v>
      </c>
      <c r="B20" s="1228">
        <f>'4 Vnější potenciál'!H19</f>
        <v>368.08261050599998</v>
      </c>
      <c r="C20" s="1236">
        <f>'4 Vnější potenciál'!B19</f>
        <v>1919.9</v>
      </c>
      <c r="D20" s="975">
        <f t="shared" si="0"/>
        <v>5.9083073980465795</v>
      </c>
    </row>
    <row r="21" spans="1:4" x14ac:dyDescent="0.2">
      <c r="A21" s="966">
        <f>'4 Vnější potenciál'!A20</f>
        <v>2011</v>
      </c>
      <c r="B21" s="1228">
        <f>'4 Vnější potenciál'!H20</f>
        <v>370.31209148800002</v>
      </c>
      <c r="C21" s="1236">
        <f>'4 Vnější potenciál'!B20</f>
        <v>1952</v>
      </c>
      <c r="D21" s="975">
        <f t="shared" si="0"/>
        <v>5.9143461406081741</v>
      </c>
    </row>
    <row r="22" spans="1:4" x14ac:dyDescent="0.2">
      <c r="A22" s="966">
        <f>'4 Vnější potenciál'!A21</f>
        <v>2012</v>
      </c>
      <c r="B22" s="1228">
        <f>'4 Vnější potenciál'!H21</f>
        <v>385.34398976199998</v>
      </c>
      <c r="C22" s="1236">
        <f>'4 Vnější potenciál'!B21</f>
        <v>1970.4</v>
      </c>
      <c r="D22" s="975">
        <f t="shared" si="0"/>
        <v>5.9541364152735134</v>
      </c>
    </row>
    <row r="23" spans="1:4" x14ac:dyDescent="0.2">
      <c r="A23" s="966">
        <f>'4 Vnější potenciál'!A22</f>
        <v>2013</v>
      </c>
      <c r="B23" s="1228">
        <f>'4 Vnější potenciál'!H22</f>
        <v>392.73301543500003</v>
      </c>
      <c r="C23" s="1236">
        <f>'4 Vnější potenciál'!B22</f>
        <v>1996.6</v>
      </c>
      <c r="D23" s="975">
        <f t="shared" si="0"/>
        <v>5.9731300309682922</v>
      </c>
    </row>
    <row r="24" spans="1:4" x14ac:dyDescent="0.2">
      <c r="A24" s="966">
        <f>'4 Vnější potenciál'!A23</f>
        <v>2014</v>
      </c>
      <c r="B24" s="1228">
        <f>'4 Vnější potenciál'!H23</f>
        <v>401.75201667599998</v>
      </c>
      <c r="C24" s="1236">
        <f>'4 Vnější potenciál'!B23</f>
        <v>2044.3</v>
      </c>
      <c r="D24" s="975">
        <f t="shared" si="0"/>
        <v>5.9958350243337097</v>
      </c>
    </row>
    <row r="25" spans="1:4" x14ac:dyDescent="0.2">
      <c r="A25" s="967">
        <f>'4 Vnější potenciál'!A24</f>
        <v>2015</v>
      </c>
      <c r="B25" s="1229">
        <f>'4 Vnější potenciál'!H24</f>
        <v>403.96336567200001</v>
      </c>
      <c r="C25" s="1237">
        <f>'4 Vnější potenciál'!B24</f>
        <v>2109.5</v>
      </c>
      <c r="D25" s="976">
        <f t="shared" si="0"/>
        <v>6.0013241948198557</v>
      </c>
    </row>
    <row r="26" spans="1:4" x14ac:dyDescent="0.2">
      <c r="C26" s="12"/>
    </row>
    <row r="27" spans="1:4" x14ac:dyDescent="0.2">
      <c r="A27" s="954" t="s">
        <v>98</v>
      </c>
    </row>
    <row r="28" spans="1:4" ht="13.5" thickBot="1" x14ac:dyDescent="0.25"/>
    <row r="29" spans="1:4" x14ac:dyDescent="0.2">
      <c r="A29" s="16" t="s">
        <v>99</v>
      </c>
      <c r="B29" s="16"/>
    </row>
    <row r="30" spans="1:4" x14ac:dyDescent="0.2">
      <c r="A30" s="972" t="s">
        <v>100</v>
      </c>
      <c r="B30" s="483">
        <v>0.99032266569946803</v>
      </c>
      <c r="C30" s="1232" t="s">
        <v>594</v>
      </c>
    </row>
    <row r="31" spans="1:4" x14ac:dyDescent="0.2">
      <c r="A31" s="972" t="s">
        <v>101</v>
      </c>
      <c r="B31" s="483">
        <v>0.9807389821981003</v>
      </c>
      <c r="C31" s="1232" t="s">
        <v>595</v>
      </c>
    </row>
    <row r="32" spans="1:4" x14ac:dyDescent="0.2">
      <c r="A32" s="972" t="s">
        <v>102</v>
      </c>
      <c r="B32" s="483">
        <v>0.97972524441905295</v>
      </c>
      <c r="C32" s="1232" t="s">
        <v>800</v>
      </c>
    </row>
    <row r="33" spans="1:9" x14ac:dyDescent="0.2">
      <c r="A33" t="s">
        <v>103</v>
      </c>
      <c r="B33">
        <v>2.8098319735507499E-2</v>
      </c>
    </row>
    <row r="34" spans="1:9" ht="13.5" thickBot="1" x14ac:dyDescent="0.25">
      <c r="A34" s="13" t="s">
        <v>104</v>
      </c>
      <c r="B34" s="13">
        <v>21</v>
      </c>
    </row>
    <row r="36" spans="1:9" ht="13.5" thickBot="1" x14ac:dyDescent="0.25">
      <c r="A36" t="s">
        <v>105</v>
      </c>
    </row>
    <row r="37" spans="1:9" ht="25.5" x14ac:dyDescent="0.2">
      <c r="A37" s="15"/>
      <c r="B37" s="973" t="s">
        <v>110</v>
      </c>
      <c r="C37" s="973" t="s">
        <v>111</v>
      </c>
      <c r="D37" s="973" t="s">
        <v>112</v>
      </c>
      <c r="E37" s="973" t="s">
        <v>113</v>
      </c>
      <c r="F37" s="1238" t="s">
        <v>114</v>
      </c>
    </row>
    <row r="38" spans="1:9" x14ac:dyDescent="0.2">
      <c r="A38" t="s">
        <v>106</v>
      </c>
      <c r="B38">
        <v>1</v>
      </c>
      <c r="C38">
        <v>0.76381556895322389</v>
      </c>
      <c r="D38">
        <v>0.76381556895322389</v>
      </c>
      <c r="E38">
        <v>967.4483899768768</v>
      </c>
      <c r="F38" s="1239">
        <v>9.2283099727076438E-18</v>
      </c>
    </row>
    <row r="39" spans="1:9" x14ac:dyDescent="0.2">
      <c r="A39" t="s">
        <v>107</v>
      </c>
      <c r="B39">
        <v>19</v>
      </c>
      <c r="C39">
        <v>1.5000795867217392E-2</v>
      </c>
      <c r="D39">
        <v>7.8951557195881014E-4</v>
      </c>
      <c r="F39" s="1239"/>
    </row>
    <row r="40" spans="1:9" ht="13.5" thickBot="1" x14ac:dyDescent="0.25">
      <c r="A40" s="13" t="s">
        <v>108</v>
      </c>
      <c r="B40" s="13">
        <v>20</v>
      </c>
      <c r="C40" s="13">
        <v>0.77881636482044125</v>
      </c>
      <c r="D40" s="13"/>
      <c r="E40" s="13"/>
      <c r="F40" s="1240"/>
    </row>
    <row r="41" spans="1:9" ht="13.5" thickBot="1" x14ac:dyDescent="0.25"/>
    <row r="42" spans="1:9" ht="25.5" x14ac:dyDescent="0.2">
      <c r="A42" s="484"/>
      <c r="B42" s="1233" t="s">
        <v>115</v>
      </c>
      <c r="C42" s="1234" t="s">
        <v>103</v>
      </c>
      <c r="D42" s="973" t="s">
        <v>116</v>
      </c>
      <c r="E42" s="1238" t="s">
        <v>117</v>
      </c>
      <c r="F42" s="973" t="s">
        <v>118</v>
      </c>
      <c r="G42" s="973" t="s">
        <v>119</v>
      </c>
      <c r="H42" s="973" t="s">
        <v>120</v>
      </c>
      <c r="I42" s="973" t="s">
        <v>121</v>
      </c>
    </row>
    <row r="43" spans="1:9" x14ac:dyDescent="0.2">
      <c r="A43" s="483" t="s">
        <v>109</v>
      </c>
      <c r="B43" s="483">
        <v>5.0239466004469007</v>
      </c>
      <c r="C43">
        <v>2.3727114194223433E-2</v>
      </c>
      <c r="D43">
        <v>211.73862777084045</v>
      </c>
      <c r="E43" s="1239">
        <v>1.6335936575073656E-33</v>
      </c>
      <c r="F43">
        <v>4.9742851798047383</v>
      </c>
      <c r="G43">
        <v>5.0736080210890631</v>
      </c>
      <c r="H43">
        <v>4.9742851798047383</v>
      </c>
      <c r="I43">
        <v>5.0736080210890631</v>
      </c>
    </row>
    <row r="44" spans="1:9" ht="13.5" thickBot="1" x14ac:dyDescent="0.25">
      <c r="A44" s="485" t="s">
        <v>802</v>
      </c>
      <c r="B44" s="485">
        <v>4.6465246156117721E-4</v>
      </c>
      <c r="C44" s="13">
        <v>1.4938752742214328E-5</v>
      </c>
      <c r="D44" s="13">
        <v>31.103832400154118</v>
      </c>
      <c r="E44" s="1240">
        <v>9.2283099727075776E-18</v>
      </c>
      <c r="F44" s="13">
        <v>4.3338529279688732E-4</v>
      </c>
      <c r="G44" s="13">
        <v>4.9591963032546711E-4</v>
      </c>
      <c r="H44" s="13">
        <v>4.3338529279688732E-4</v>
      </c>
      <c r="I44" s="13">
        <v>4.9591963032546711E-4</v>
      </c>
    </row>
  </sheetData>
  <phoneticPr fontId="0" type="noConversion"/>
  <hyperlinks>
    <hyperlink ref="I1" location="Obsah!A1" display="Skok na obsah" xr:uid="{00000000-0004-0000-0200-000000000000}"/>
  </hyperlinks>
  <pageMargins left="0.39370078740157483" right="0.39370078740157483" top="0.98425196850393704" bottom="0.98425196850393704" header="0.51181102362204722" footer="0.51181102362204722"/>
  <pageSetup paperSize="9" scale="89" orientation="portrait" r:id="rId1"/>
  <headerFooter alignWithMargins="0">
    <oddHeader>&amp;LMařík, M. a kol.: Metody oceňování podniku - 1. díl, Ekopress 2024&amp;RPříklad UNIPO, a.s.</oddHeader>
    <oddFooter>&amp;C&amp;A&amp;R&amp;"Arial CE,kurzíva"© M. Mařík, P. Maříková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4"/>
  <sheetViews>
    <sheetView workbookViewId="0"/>
  </sheetViews>
  <sheetFormatPr defaultRowHeight="12.75" x14ac:dyDescent="0.2"/>
  <cols>
    <col min="1" max="1" width="30.7109375" customWidth="1"/>
    <col min="2" max="2" width="11.7109375" customWidth="1"/>
    <col min="10" max="10" width="1" customWidth="1"/>
  </cols>
  <sheetData>
    <row r="1" spans="1:9" s="487" customFormat="1" ht="21" customHeight="1" x14ac:dyDescent="0.2">
      <c r="A1" s="486" t="s">
        <v>433</v>
      </c>
      <c r="I1" s="926" t="s">
        <v>557</v>
      </c>
    </row>
    <row r="2" spans="1:9" s="487" customFormat="1" ht="21" customHeight="1" x14ac:dyDescent="0.2">
      <c r="A2" s="488" t="s">
        <v>804</v>
      </c>
    </row>
    <row r="3" spans="1:9" x14ac:dyDescent="0.2">
      <c r="A3" s="968"/>
      <c r="B3" s="969" t="s">
        <v>593</v>
      </c>
      <c r="C3" s="968" t="s">
        <v>592</v>
      </c>
    </row>
    <row r="4" spans="1:9" ht="38.25" x14ac:dyDescent="0.2">
      <c r="A4" s="970" t="s">
        <v>96</v>
      </c>
      <c r="B4" s="971" t="s">
        <v>790</v>
      </c>
      <c r="C4" s="971" t="s">
        <v>803</v>
      </c>
    </row>
    <row r="5" spans="1:9" x14ac:dyDescent="0.2">
      <c r="A5" s="1241">
        <f>'4 Vnější potenciál'!A4</f>
        <v>1995</v>
      </c>
      <c r="B5" s="1228">
        <f>'4 Vnější potenciál'!H4</f>
        <v>205.220527535</v>
      </c>
      <c r="C5" s="1235">
        <f>'4 Vnější potenciál'!B4</f>
        <v>769.5</v>
      </c>
    </row>
    <row r="6" spans="1:9" x14ac:dyDescent="0.2">
      <c r="A6" s="966">
        <f>'4 Vnější potenciál'!A5</f>
        <v>1996</v>
      </c>
      <c r="B6" s="1228">
        <f>'4 Vnější potenciál'!H5</f>
        <v>232.79688650400001</v>
      </c>
      <c r="C6" s="1236">
        <f>'4 Vnější potenciál'!B5</f>
        <v>892</v>
      </c>
    </row>
    <row r="7" spans="1:9" x14ac:dyDescent="0.2">
      <c r="A7" s="966">
        <f>'4 Vnější potenciál'!A6</f>
        <v>1997</v>
      </c>
      <c r="B7" s="1228">
        <f>'4 Vnější potenciál'!H6</f>
        <v>250.01787313</v>
      </c>
      <c r="C7" s="1236">
        <f>'4 Vnější potenciál'!B6</f>
        <v>997.4</v>
      </c>
    </row>
    <row r="8" spans="1:9" x14ac:dyDescent="0.2">
      <c r="A8" s="966">
        <f>'4 Vnější potenciál'!A7</f>
        <v>1998</v>
      </c>
      <c r="B8" s="1228">
        <f>'4 Vnější potenciál'!H7</f>
        <v>265.66100411500003</v>
      </c>
      <c r="C8" s="1236">
        <f>'4 Vnější potenciál'!B7</f>
        <v>1075.0999999999999</v>
      </c>
    </row>
    <row r="9" spans="1:9" x14ac:dyDescent="0.2">
      <c r="A9" s="966">
        <f>'4 Vnější potenciál'!A8</f>
        <v>1999</v>
      </c>
      <c r="B9" s="1228">
        <f>'4 Vnější potenciál'!H8</f>
        <v>262.15957808000002</v>
      </c>
      <c r="C9" s="1236">
        <f>'4 Vnější potenciál'!B8</f>
        <v>1132.9000000000001</v>
      </c>
    </row>
    <row r="10" spans="1:9" x14ac:dyDescent="0.2">
      <c r="A10" s="966">
        <f>'4 Vnější potenciál'!A9</f>
        <v>2000</v>
      </c>
      <c r="B10" s="1228">
        <f>'4 Vnější potenciál'!H9</f>
        <v>265.36956999900002</v>
      </c>
      <c r="C10" s="1236">
        <f>'4 Vnější potenciál'!B9</f>
        <v>1191.0999999999999</v>
      </c>
    </row>
    <row r="11" spans="1:9" x14ac:dyDescent="0.2">
      <c r="A11" s="966">
        <f>'4 Vnější potenciál'!A10</f>
        <v>2001</v>
      </c>
      <c r="B11" s="1228">
        <f>'4 Vnější potenciál'!H10</f>
        <v>277.93443532800001</v>
      </c>
      <c r="C11" s="1236">
        <f>'4 Vnější potenciál'!B10</f>
        <v>1270.0999999999999</v>
      </c>
    </row>
    <row r="12" spans="1:9" x14ac:dyDescent="0.2">
      <c r="A12" s="966">
        <f>'4 Vnější potenciál'!A11</f>
        <v>2002</v>
      </c>
      <c r="B12" s="1228">
        <f>'4 Vnější potenciál'!H11</f>
        <v>280.52128499999998</v>
      </c>
      <c r="C12" s="1236">
        <f>'4 Vnější potenciál'!B11</f>
        <v>1325.4</v>
      </c>
    </row>
    <row r="13" spans="1:9" x14ac:dyDescent="0.2">
      <c r="A13" s="966">
        <f>'4 Vnější potenciál'!A12</f>
        <v>2003</v>
      </c>
      <c r="B13" s="1228">
        <f>'4 Vnější potenciál'!H12</f>
        <v>285.901269275</v>
      </c>
      <c r="C13" s="1236">
        <f>'4 Vnější potenciál'!B12</f>
        <v>1390.4</v>
      </c>
    </row>
    <row r="14" spans="1:9" x14ac:dyDescent="0.2">
      <c r="A14" s="966">
        <f>'4 Vnější potenciál'!A13</f>
        <v>2004</v>
      </c>
      <c r="B14" s="1228">
        <f>'4 Vnější potenciál'!H13</f>
        <v>292.50999933399999</v>
      </c>
      <c r="C14" s="1236">
        <f>'4 Vnější potenciál'!B13</f>
        <v>1481.5</v>
      </c>
    </row>
    <row r="15" spans="1:9" x14ac:dyDescent="0.2">
      <c r="A15" s="966">
        <f>'4 Vnější potenciál'!A14</f>
        <v>2005</v>
      </c>
      <c r="B15" s="1228">
        <f>'4 Vnější potenciál'!H14</f>
        <v>298.40565453599999</v>
      </c>
      <c r="C15" s="1236">
        <f>'4 Vnější potenciál'!B14</f>
        <v>1544.7</v>
      </c>
    </row>
    <row r="16" spans="1:9" x14ac:dyDescent="0.2">
      <c r="A16" s="966">
        <f>'4 Vnější potenciál'!A15</f>
        <v>2006</v>
      </c>
      <c r="B16" s="1228">
        <f>'4 Vnější potenciál'!H15</f>
        <v>318.77935830000001</v>
      </c>
      <c r="C16" s="1236">
        <f>'4 Vnější potenciál'!B15</f>
        <v>1631</v>
      </c>
    </row>
    <row r="17" spans="1:3" x14ac:dyDescent="0.2">
      <c r="A17" s="966">
        <f>'4 Vnější potenciál'!A16</f>
        <v>2007</v>
      </c>
      <c r="B17" s="1228">
        <f>'4 Vnější potenciál'!H16</f>
        <v>334.38286477700001</v>
      </c>
      <c r="C17" s="1236">
        <f>'4 Vnější potenciál'!B16</f>
        <v>1749.5</v>
      </c>
    </row>
    <row r="18" spans="1:3" x14ac:dyDescent="0.2">
      <c r="A18" s="966">
        <f>'4 Vnější potenciál'!A17</f>
        <v>2008</v>
      </c>
      <c r="B18" s="1228">
        <f>'4 Vnější potenciál'!H17</f>
        <v>363.53734435199999</v>
      </c>
      <c r="C18" s="1236">
        <f>'4 Vnější potenciál'!B17</f>
        <v>1887</v>
      </c>
    </row>
    <row r="19" spans="1:3" x14ac:dyDescent="0.2">
      <c r="A19" s="966">
        <f>'4 Vnější potenciál'!A18</f>
        <v>2009</v>
      </c>
      <c r="B19" s="1228">
        <f>'4 Vnější potenciál'!H18</f>
        <v>376.18293715200002</v>
      </c>
      <c r="C19" s="1236">
        <f>'4 Vnější potenciál'!B18</f>
        <v>1890.9</v>
      </c>
    </row>
    <row r="20" spans="1:3" x14ac:dyDescent="0.2">
      <c r="A20" s="966">
        <f>'4 Vnější potenciál'!A19</f>
        <v>2010</v>
      </c>
      <c r="B20" s="1228">
        <f>'4 Vnější potenciál'!H19</f>
        <v>368.08261050599998</v>
      </c>
      <c r="C20" s="1236">
        <f>'4 Vnější potenciál'!B19</f>
        <v>1919.9</v>
      </c>
    </row>
    <row r="21" spans="1:3" x14ac:dyDescent="0.2">
      <c r="A21" s="966">
        <f>'4 Vnější potenciál'!A20</f>
        <v>2011</v>
      </c>
      <c r="B21" s="1228">
        <f>'4 Vnější potenciál'!H20</f>
        <v>370.31209148800002</v>
      </c>
      <c r="C21" s="1236">
        <f>'4 Vnější potenciál'!B20</f>
        <v>1952</v>
      </c>
    </row>
    <row r="22" spans="1:3" x14ac:dyDescent="0.2">
      <c r="A22" s="966">
        <f>'4 Vnější potenciál'!A21</f>
        <v>2012</v>
      </c>
      <c r="B22" s="1228">
        <f>'4 Vnější potenciál'!H21</f>
        <v>385.34398976199998</v>
      </c>
      <c r="C22" s="1236">
        <f>'4 Vnější potenciál'!B21</f>
        <v>1970.4</v>
      </c>
    </row>
    <row r="23" spans="1:3" x14ac:dyDescent="0.2">
      <c r="A23" s="966">
        <f>'4 Vnější potenciál'!A22</f>
        <v>2013</v>
      </c>
      <c r="B23" s="1228">
        <f>'4 Vnější potenciál'!H22</f>
        <v>392.73301543500003</v>
      </c>
      <c r="C23" s="1236">
        <f>'4 Vnější potenciál'!B22</f>
        <v>1996.6</v>
      </c>
    </row>
    <row r="24" spans="1:3" x14ac:dyDescent="0.2">
      <c r="A24" s="966">
        <f>'4 Vnější potenciál'!A23</f>
        <v>2014</v>
      </c>
      <c r="B24" s="1228">
        <f>'4 Vnější potenciál'!H23</f>
        <v>401.75201667599998</v>
      </c>
      <c r="C24" s="1236">
        <f>'4 Vnější potenciál'!B23</f>
        <v>2044.3</v>
      </c>
    </row>
    <row r="25" spans="1:3" x14ac:dyDescent="0.2">
      <c r="A25" s="967">
        <f>'4 Vnější potenciál'!A24</f>
        <v>2015</v>
      </c>
      <c r="B25" s="1229">
        <f>'4 Vnější potenciál'!H24</f>
        <v>403.96336567200001</v>
      </c>
      <c r="C25" s="1237">
        <f>'4 Vnější potenciál'!B24</f>
        <v>2109.5</v>
      </c>
    </row>
    <row r="26" spans="1:3" x14ac:dyDescent="0.2">
      <c r="C26" s="12"/>
    </row>
    <row r="27" spans="1:3" x14ac:dyDescent="0.2">
      <c r="A27" s="954" t="s">
        <v>98</v>
      </c>
    </row>
    <row r="28" spans="1:3" ht="13.5" thickBot="1" x14ac:dyDescent="0.25"/>
    <row r="29" spans="1:3" x14ac:dyDescent="0.2">
      <c r="A29" s="16" t="s">
        <v>99</v>
      </c>
      <c r="B29" s="16"/>
    </row>
    <row r="30" spans="1:3" x14ac:dyDescent="0.2">
      <c r="A30" s="972" t="s">
        <v>100</v>
      </c>
      <c r="B30" s="483">
        <v>0.98670083840567702</v>
      </c>
      <c r="C30" s="1232" t="s">
        <v>594</v>
      </c>
    </row>
    <row r="31" spans="1:3" x14ac:dyDescent="0.2">
      <c r="A31" s="972" t="s">
        <v>101</v>
      </c>
      <c r="B31" s="483">
        <v>0.97357854451046588</v>
      </c>
      <c r="C31" s="1232" t="s">
        <v>595</v>
      </c>
    </row>
    <row r="32" spans="1:3" x14ac:dyDescent="0.2">
      <c r="A32" s="972" t="s">
        <v>102</v>
      </c>
      <c r="B32" s="483">
        <v>0.97218794158996413</v>
      </c>
      <c r="C32" s="1232" t="s">
        <v>800</v>
      </c>
    </row>
    <row r="33" spans="1:9" x14ac:dyDescent="0.2">
      <c r="A33" t="s">
        <v>103</v>
      </c>
      <c r="B33">
        <v>10.123343400260051</v>
      </c>
    </row>
    <row r="34" spans="1:9" ht="13.5" thickBot="1" x14ac:dyDescent="0.25">
      <c r="A34" s="13" t="s">
        <v>104</v>
      </c>
      <c r="B34" s="13">
        <v>21</v>
      </c>
    </row>
    <row r="36" spans="1:9" ht="13.5" thickBot="1" x14ac:dyDescent="0.25">
      <c r="A36" t="s">
        <v>105</v>
      </c>
    </row>
    <row r="37" spans="1:9" ht="25.5" x14ac:dyDescent="0.2">
      <c r="A37" s="15"/>
      <c r="B37" s="973" t="s">
        <v>110</v>
      </c>
      <c r="C37" s="973" t="s">
        <v>111</v>
      </c>
      <c r="D37" s="973" t="s">
        <v>112</v>
      </c>
      <c r="E37" s="973" t="s">
        <v>113</v>
      </c>
      <c r="F37" s="1238" t="s">
        <v>114</v>
      </c>
    </row>
    <row r="38" spans="1:9" x14ac:dyDescent="0.2">
      <c r="A38" t="s">
        <v>106</v>
      </c>
      <c r="B38">
        <v>1</v>
      </c>
      <c r="C38">
        <v>71748.990578940487</v>
      </c>
      <c r="D38">
        <v>71748.990578940487</v>
      </c>
      <c r="E38">
        <v>700.11254122719174</v>
      </c>
      <c r="F38" s="1239">
        <v>1.8650710327274016E-16</v>
      </c>
    </row>
    <row r="39" spans="1:9" x14ac:dyDescent="0.2">
      <c r="A39" t="s">
        <v>107</v>
      </c>
      <c r="B39">
        <v>19</v>
      </c>
      <c r="C39">
        <v>1947.1595503921858</v>
      </c>
      <c r="D39">
        <v>102.48208159958872</v>
      </c>
      <c r="F39" s="1239"/>
    </row>
    <row r="40" spans="1:9" ht="13.5" thickBot="1" x14ac:dyDescent="0.25">
      <c r="A40" s="13" t="s">
        <v>108</v>
      </c>
      <c r="B40" s="13">
        <v>20</v>
      </c>
      <c r="C40" s="13">
        <v>73696.150129332673</v>
      </c>
      <c r="D40" s="13"/>
      <c r="E40" s="13"/>
      <c r="F40" s="1240"/>
    </row>
    <row r="41" spans="1:9" ht="13.5" thickBot="1" x14ac:dyDescent="0.25"/>
    <row r="42" spans="1:9" ht="36" x14ac:dyDescent="0.2">
      <c r="A42" s="484"/>
      <c r="B42" s="1233" t="s">
        <v>115</v>
      </c>
      <c r="C42" s="1234" t="s">
        <v>103</v>
      </c>
      <c r="D42" s="973" t="s">
        <v>116</v>
      </c>
      <c r="E42" s="1238" t="s">
        <v>117</v>
      </c>
      <c r="F42" s="973" t="s">
        <v>118</v>
      </c>
      <c r="G42" s="973" t="s">
        <v>119</v>
      </c>
      <c r="H42" s="973" t="s">
        <v>120</v>
      </c>
      <c r="I42" s="973" t="s">
        <v>121</v>
      </c>
    </row>
    <row r="43" spans="1:9" x14ac:dyDescent="0.2">
      <c r="A43" s="483" t="s">
        <v>109</v>
      </c>
      <c r="B43" s="483">
        <v>97.282466174750141</v>
      </c>
      <c r="C43">
        <v>8.54847290323106</v>
      </c>
      <c r="D43">
        <v>11.380098793783432</v>
      </c>
      <c r="E43" s="1239">
        <v>6.3119518738707182E-10</v>
      </c>
      <c r="F43">
        <v>79.390306798754892</v>
      </c>
      <c r="G43">
        <v>115.17462555074539</v>
      </c>
      <c r="H43">
        <v>79.390306798754892</v>
      </c>
      <c r="I43">
        <v>115.17462555074539</v>
      </c>
    </row>
    <row r="44" spans="1:9" ht="13.5" thickBot="1" x14ac:dyDescent="0.25">
      <c r="A44" s="485" t="s">
        <v>587</v>
      </c>
      <c r="B44" s="485">
        <v>0.14241045917862297</v>
      </c>
      <c r="C44" s="13">
        <v>5.3821767779909102E-3</v>
      </c>
      <c r="D44" s="13">
        <v>26.459639854449886</v>
      </c>
      <c r="E44" s="1240">
        <v>1.8650710327273753E-16</v>
      </c>
      <c r="F44" s="13">
        <v>0.13114543374171761</v>
      </c>
      <c r="G44" s="13">
        <v>0.15367548461552832</v>
      </c>
      <c r="H44" s="13">
        <v>0.13114543374171761</v>
      </c>
      <c r="I44" s="13">
        <v>0.15367548461552832</v>
      </c>
    </row>
  </sheetData>
  <phoneticPr fontId="0" type="noConversion"/>
  <hyperlinks>
    <hyperlink ref="I1" location="Obsah!A1" display="Skok na obsah" xr:uid="{00000000-0004-0000-0300-000000000000}"/>
  </hyperlinks>
  <pageMargins left="0.39370078740157483" right="0.39370078740157483" top="0.98425196850393704" bottom="0.98425196850393704" header="0.51181102362204722" footer="0.51181102362204722"/>
  <pageSetup paperSize="9" scale="90" orientation="portrait" r:id="rId1"/>
  <headerFooter alignWithMargins="0">
    <oddHeader>&amp;LMařík, M. a kol.: Metody oceňování podniku - 1. díl, Ekopress 2024&amp;RPříklad UNIPO, a.s.</oddHeader>
    <oddFooter>&amp;C&amp;A&amp;R&amp;"Arial CE,kurzíva"© M. Mařík, P. Maříková</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4"/>
  <sheetViews>
    <sheetView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9.28515625" customWidth="1"/>
    <col min="2" max="2" width="12" customWidth="1"/>
    <col min="3" max="4" width="9" customWidth="1"/>
    <col min="5" max="5" width="2.5703125" customWidth="1"/>
    <col min="6" max="6" width="10.28515625" customWidth="1"/>
    <col min="7" max="7" width="10.5703125" customWidth="1"/>
    <col min="8" max="8" width="11" customWidth="1"/>
    <col min="9" max="9" width="7.42578125" customWidth="1"/>
    <col min="10" max="10" width="8.7109375" customWidth="1"/>
    <col min="11" max="11" width="6.42578125" customWidth="1"/>
    <col min="12" max="12" width="8.7109375" customWidth="1"/>
    <col min="13" max="13" width="6.5703125" customWidth="1"/>
    <col min="14" max="14" width="8.7109375" customWidth="1"/>
    <col min="15" max="15" width="6.5703125" customWidth="1"/>
    <col min="16" max="16" width="10.85546875" customWidth="1"/>
    <col min="17" max="17" width="7.42578125" customWidth="1"/>
    <col min="18" max="18" width="9.28515625" customWidth="1"/>
    <col min="19" max="19" width="9" customWidth="1"/>
    <col min="20" max="20" width="7.5703125" customWidth="1"/>
    <col min="21" max="21" width="5.7109375" customWidth="1"/>
  </cols>
  <sheetData>
    <row r="1" spans="1:22" ht="21" customHeight="1" thickBot="1" x14ac:dyDescent="0.25">
      <c r="A1" s="486" t="s">
        <v>433</v>
      </c>
      <c r="S1" s="1497" t="s">
        <v>557</v>
      </c>
      <c r="T1" s="1497"/>
    </row>
    <row r="2" spans="1:22" ht="21" customHeight="1" thickBot="1" x14ac:dyDescent="0.25">
      <c r="A2" s="1494" t="s">
        <v>815</v>
      </c>
      <c r="B2" s="1495"/>
      <c r="C2" s="1495"/>
      <c r="D2" s="1496"/>
      <c r="E2" s="487"/>
      <c r="F2" s="1494" t="s">
        <v>789</v>
      </c>
      <c r="G2" s="1495"/>
      <c r="H2" s="1495"/>
      <c r="I2" s="1496"/>
      <c r="J2" s="993" t="s">
        <v>796</v>
      </c>
      <c r="K2" s="994"/>
      <c r="L2" s="994"/>
      <c r="M2" s="994"/>
      <c r="N2" s="994"/>
      <c r="O2" s="994"/>
      <c r="P2" s="1494" t="s">
        <v>806</v>
      </c>
      <c r="Q2" s="1496"/>
      <c r="R2" s="1494" t="s">
        <v>598</v>
      </c>
      <c r="S2" s="1495"/>
      <c r="T2" s="1496"/>
    </row>
    <row r="3" spans="1:22" ht="51.75" thickBot="1" x14ac:dyDescent="0.25">
      <c r="A3" s="499" t="s">
        <v>96</v>
      </c>
      <c r="B3" s="500" t="s">
        <v>788</v>
      </c>
      <c r="C3" s="504" t="s">
        <v>122</v>
      </c>
      <c r="D3" s="502" t="s">
        <v>97</v>
      </c>
      <c r="E3" s="11"/>
      <c r="F3" s="962" t="s">
        <v>591</v>
      </c>
      <c r="G3" s="963" t="s">
        <v>589</v>
      </c>
      <c r="H3" s="964" t="s">
        <v>790</v>
      </c>
      <c r="I3" s="965" t="s">
        <v>122</v>
      </c>
      <c r="J3" s="503" t="s">
        <v>596</v>
      </c>
      <c r="K3" s="501" t="s">
        <v>122</v>
      </c>
      <c r="L3" s="500" t="s">
        <v>797</v>
      </c>
      <c r="M3" s="501" t="s">
        <v>122</v>
      </c>
      <c r="N3" s="500" t="s">
        <v>798</v>
      </c>
      <c r="O3" s="979" t="s">
        <v>122</v>
      </c>
      <c r="P3" s="964" t="s">
        <v>590</v>
      </c>
      <c r="Q3" s="965" t="s">
        <v>122</v>
      </c>
      <c r="R3" s="499" t="s">
        <v>601</v>
      </c>
      <c r="S3" s="500" t="s">
        <v>597</v>
      </c>
      <c r="T3" s="504" t="s">
        <v>122</v>
      </c>
    </row>
    <row r="4" spans="1:22" x14ac:dyDescent="0.2">
      <c r="A4" s="507">
        <v>1995</v>
      </c>
      <c r="B4" s="1217">
        <v>769.5</v>
      </c>
      <c r="C4" s="225"/>
      <c r="D4" s="953">
        <v>1.091</v>
      </c>
      <c r="E4" s="12"/>
      <c r="F4" s="1219">
        <v>19865</v>
      </c>
      <c r="G4" s="1220">
        <v>10330759</v>
      </c>
      <c r="H4" s="1225">
        <f>F4*G4/1000000000</f>
        <v>205.220527535</v>
      </c>
      <c r="I4" s="1276"/>
      <c r="J4" s="1242">
        <f>'1 Regrese - Čas lin'!$B$43+'1 Regrese - Čas lin'!$B$44*(A4-A$4+1)</f>
        <v>219.48657843696967</v>
      </c>
      <c r="K4" s="492"/>
      <c r="L4" s="1245">
        <f>EXP('2 Regrese - SP exp'!$B$43+'2 Regrese - SP exp'!$B$44*'4 Vnější potenciál'!B4)</f>
        <v>217.34732925947642</v>
      </c>
      <c r="M4" s="492"/>
      <c r="N4" s="1246">
        <f>'3 Regrese - SP lin'!$B$43+'3 Regrese - SP lin'!$B$44*'4 Vnější potenciál'!B4</f>
        <v>206.86731451270052</v>
      </c>
      <c r="O4" s="224"/>
      <c r="P4" s="1219">
        <f>H4*1000</f>
        <v>205220.527535</v>
      </c>
      <c r="Q4" s="224"/>
      <c r="R4" s="989">
        <v>6.0699999999999997E-2</v>
      </c>
      <c r="S4" s="977">
        <f>P4*R4</f>
        <v>12456.886021374499</v>
      </c>
      <c r="T4" s="72"/>
      <c r="V4" s="12"/>
    </row>
    <row r="5" spans="1:22" x14ac:dyDescent="0.2">
      <c r="A5" s="506">
        <v>1996</v>
      </c>
      <c r="B5" s="1216">
        <v>892</v>
      </c>
      <c r="C5" s="1250">
        <f t="shared" ref="C5:C30" si="0">B5/B4-1</f>
        <v>0.15919428200129948</v>
      </c>
      <c r="D5" s="953">
        <v>1.0880000000000001</v>
      </c>
      <c r="E5" s="12"/>
      <c r="F5" s="1221">
        <v>22568</v>
      </c>
      <c r="G5" s="1222">
        <v>10315353</v>
      </c>
      <c r="H5" s="1226">
        <f t="shared" ref="H5:H24" si="1">F5*G5/1000000000</f>
        <v>232.79688650400001</v>
      </c>
      <c r="I5" s="1277">
        <f t="shared" ref="I5:I24" si="2">H5/H4-1</f>
        <v>0.13437427191242812</v>
      </c>
      <c r="J5" s="1243">
        <f>'1 Regrese - Čas lin'!$B$43+'1 Regrese - Čas lin'!$B$44*(A5-A$4+1)</f>
        <v>229.11681429306319</v>
      </c>
      <c r="K5" s="1261">
        <f>J5/J4-1</f>
        <v>4.3876194729870699E-2</v>
      </c>
      <c r="L5" s="1246">
        <f>EXP('2 Regrese - SP exp'!$B$43+'2 Regrese - SP exp'!$B$44*'4 Vnější potenciál'!B5)</f>
        <v>230.07758914852243</v>
      </c>
      <c r="M5" s="1261">
        <f>L5/L4-1</f>
        <v>5.85710435569613E-2</v>
      </c>
      <c r="N5" s="1246">
        <f>'3 Regrese - SP lin'!$B$43+'3 Regrese - SP lin'!$B$44*'4 Vnější potenciál'!B5</f>
        <v>224.31259576208183</v>
      </c>
      <c r="O5" s="1244">
        <f>N5/N4-1</f>
        <v>8.4330776422924192E-2</v>
      </c>
      <c r="P5" s="1221">
        <f t="shared" ref="P5:P24" si="3">H5*1000</f>
        <v>232796.88650400002</v>
      </c>
      <c r="Q5" s="1244">
        <f>P5/P4-1</f>
        <v>0.13437427191242812</v>
      </c>
      <c r="R5" s="990">
        <v>6.0699999999999997E-2</v>
      </c>
      <c r="S5" s="978">
        <f t="shared" ref="S5:S30" si="4">P5*R5</f>
        <v>14130.771010792801</v>
      </c>
      <c r="T5" s="1272">
        <f>S5/S4-1</f>
        <v>0.13437427191242812</v>
      </c>
    </row>
    <row r="6" spans="1:22" x14ac:dyDescent="0.2">
      <c r="A6" s="506">
        <v>1997</v>
      </c>
      <c r="B6" s="1216">
        <v>997.4</v>
      </c>
      <c r="C6" s="1250">
        <f t="shared" si="0"/>
        <v>0.11816143497757836</v>
      </c>
      <c r="D6" s="953">
        <v>1.085</v>
      </c>
      <c r="E6" s="12"/>
      <c r="F6" s="1221">
        <v>24265</v>
      </c>
      <c r="G6" s="1222">
        <v>10303642</v>
      </c>
      <c r="H6" s="1226">
        <f t="shared" si="1"/>
        <v>250.01787313</v>
      </c>
      <c r="I6" s="1277">
        <f t="shared" si="2"/>
        <v>7.3974299590574999E-2</v>
      </c>
      <c r="J6" s="1243">
        <f>'1 Regrese - Čas lin'!$B$43+'1 Regrese - Čas lin'!$B$44*(A6-A$4+1)</f>
        <v>238.74705014915668</v>
      </c>
      <c r="K6" s="1261">
        <f t="shared" ref="K6:K30" si="5">J6/J5-1</f>
        <v>4.2031990911742811E-2</v>
      </c>
      <c r="L6" s="1246">
        <f>EXP('2 Regrese - SP exp'!$B$43+'2 Regrese - SP exp'!$B$44*'4 Vnější potenciál'!B6)</f>
        <v>241.62597328667519</v>
      </c>
      <c r="M6" s="1261">
        <f t="shared" ref="M6:M30" si="6">L6/L5-1</f>
        <v>5.0193433358248107E-2</v>
      </c>
      <c r="N6" s="1246">
        <f>'3 Regrese - SP lin'!$B$43+'3 Regrese - SP lin'!$B$44*'4 Vnější potenciál'!B6</f>
        <v>239.32265815950868</v>
      </c>
      <c r="O6" s="1244">
        <f t="shared" ref="O6:O30" si="7">N6/N5-1</f>
        <v>6.6915824973767135E-2</v>
      </c>
      <c r="P6" s="1221">
        <f t="shared" si="3"/>
        <v>250017.87312999999</v>
      </c>
      <c r="Q6" s="1244">
        <f t="shared" ref="Q6:Q24" si="8">P6/P5-1</f>
        <v>7.3974299590574999E-2</v>
      </c>
      <c r="R6" s="990">
        <v>6.08E-2</v>
      </c>
      <c r="S6" s="978">
        <f t="shared" si="4"/>
        <v>15201.086686303999</v>
      </c>
      <c r="T6" s="1272">
        <f t="shared" ref="T6:T30" si="9">S6/S5-1</f>
        <v>7.5743614746407895E-2</v>
      </c>
    </row>
    <row r="7" spans="1:22" x14ac:dyDescent="0.2">
      <c r="A7" s="506">
        <v>1998</v>
      </c>
      <c r="B7" s="1216">
        <v>1075.0999999999999</v>
      </c>
      <c r="C7" s="1250">
        <f t="shared" si="0"/>
        <v>7.7902546621215096E-2</v>
      </c>
      <c r="D7" s="953">
        <v>1.107</v>
      </c>
      <c r="E7" s="12"/>
      <c r="F7" s="1221">
        <v>25805</v>
      </c>
      <c r="G7" s="1222">
        <v>10294943</v>
      </c>
      <c r="H7" s="1226">
        <f t="shared" si="1"/>
        <v>265.66100411500003</v>
      </c>
      <c r="I7" s="1277">
        <f t="shared" si="2"/>
        <v>6.2568050792377372E-2</v>
      </c>
      <c r="J7" s="1243">
        <f>'1 Regrese - Čas lin'!$B$43+'1 Regrese - Čas lin'!$B$44*(A7-A$4+1)</f>
        <v>248.3772860052502</v>
      </c>
      <c r="K7" s="1261">
        <f t="shared" si="5"/>
        <v>4.0336564787196494E-2</v>
      </c>
      <c r="L7" s="1246">
        <f>EXP('2 Regrese - SP exp'!$B$43+'2 Regrese - SP exp'!$B$44*'4 Vnější potenciál'!B7)</f>
        <v>250.50890326548992</v>
      </c>
      <c r="M7" s="1261">
        <f t="shared" si="6"/>
        <v>3.6763142049615949E-2</v>
      </c>
      <c r="N7" s="1246">
        <f>'3 Regrese - SP lin'!$B$43+'3 Regrese - SP lin'!$B$44*'4 Vnější potenciál'!B7</f>
        <v>250.38795083768767</v>
      </c>
      <c r="O7" s="1244">
        <f t="shared" si="7"/>
        <v>4.6235875713882324E-2</v>
      </c>
      <c r="P7" s="1221">
        <f t="shared" si="3"/>
        <v>265661.00411500002</v>
      </c>
      <c r="Q7" s="1244">
        <f t="shared" si="8"/>
        <v>6.2568050792377372E-2</v>
      </c>
      <c r="R7" s="990">
        <v>6.0900000000000003E-2</v>
      </c>
      <c r="S7" s="978">
        <f t="shared" si="4"/>
        <v>16178.755150603502</v>
      </c>
      <c r="T7" s="1272">
        <f t="shared" si="9"/>
        <v>6.4315695612759738E-2</v>
      </c>
    </row>
    <row r="8" spans="1:22" x14ac:dyDescent="0.2">
      <c r="A8" s="506">
        <v>1999</v>
      </c>
      <c r="B8" s="1216">
        <v>1132.9000000000001</v>
      </c>
      <c r="C8" s="1250">
        <f t="shared" si="0"/>
        <v>5.3762440703190473E-2</v>
      </c>
      <c r="D8" s="953">
        <v>1.0209999999999999</v>
      </c>
      <c r="E8" s="12"/>
      <c r="F8" s="1221">
        <v>25495</v>
      </c>
      <c r="G8" s="1222">
        <v>10282784</v>
      </c>
      <c r="H8" s="1226">
        <f t="shared" si="1"/>
        <v>262.15957808000002</v>
      </c>
      <c r="I8" s="1277">
        <f t="shared" si="2"/>
        <v>-1.3180052701616263E-2</v>
      </c>
      <c r="J8" s="1243">
        <f>'1 Regrese - Čas lin'!$B$43+'1 Regrese - Čas lin'!$B$44*(A8-A$4+1)</f>
        <v>258.00752186134372</v>
      </c>
      <c r="K8" s="1261">
        <f t="shared" si="5"/>
        <v>3.8772610857379153E-2</v>
      </c>
      <c r="L8" s="1246">
        <f>EXP('2 Regrese - SP exp'!$B$43+'2 Regrese - SP exp'!$B$44*'4 Vnější potenciál'!B8)</f>
        <v>257.32795841483789</v>
      </c>
      <c r="M8" s="1261">
        <f t="shared" si="6"/>
        <v>2.7220809561890658E-2</v>
      </c>
      <c r="N8" s="1246">
        <f>'3 Regrese - SP lin'!$B$43+'3 Regrese - SP lin'!$B$44*'4 Vnější potenciál'!B8</f>
        <v>258.61927537821214</v>
      </c>
      <c r="O8" s="1244">
        <f t="shared" si="7"/>
        <v>3.2874283738439036E-2</v>
      </c>
      <c r="P8" s="1221">
        <f t="shared" si="3"/>
        <v>262159.57808000001</v>
      </c>
      <c r="Q8" s="1244">
        <f t="shared" si="8"/>
        <v>-1.3180052701616374E-2</v>
      </c>
      <c r="R8" s="990">
        <v>6.0900000000000003E-2</v>
      </c>
      <c r="S8" s="978">
        <f t="shared" si="4"/>
        <v>15965.518305072001</v>
      </c>
      <c r="T8" s="1272">
        <f t="shared" si="9"/>
        <v>-1.3180052701616374E-2</v>
      </c>
    </row>
    <row r="9" spans="1:22" x14ac:dyDescent="0.2">
      <c r="A9" s="506">
        <v>2000</v>
      </c>
      <c r="B9" s="1216">
        <v>1191.0999999999999</v>
      </c>
      <c r="C9" s="1250">
        <f t="shared" si="0"/>
        <v>5.1372583634919033E-2</v>
      </c>
      <c r="D9" s="953">
        <v>1.0389999999999999</v>
      </c>
      <c r="E9" s="12"/>
      <c r="F9" s="1221">
        <v>25833</v>
      </c>
      <c r="G9" s="1222">
        <v>10272503</v>
      </c>
      <c r="H9" s="1226">
        <f t="shared" si="1"/>
        <v>265.36956999900002</v>
      </c>
      <c r="I9" s="1277">
        <f t="shared" si="2"/>
        <v>1.2244419763371983E-2</v>
      </c>
      <c r="J9" s="1243">
        <f>'1 Regrese - Čas lin'!$B$43+'1 Regrese - Čas lin'!$B$44*(A9-A$4+1)</f>
        <v>267.63775771743718</v>
      </c>
      <c r="K9" s="1261">
        <f t="shared" si="5"/>
        <v>3.7325407362615026E-2</v>
      </c>
      <c r="L9" s="1246">
        <f>EXP('2 Regrese - SP exp'!$B$43+'2 Regrese - SP exp'!$B$44*'4 Vnější potenciál'!B9)</f>
        <v>264.38176745525487</v>
      </c>
      <c r="M9" s="1261">
        <f t="shared" si="6"/>
        <v>2.7411747576396417E-2</v>
      </c>
      <c r="N9" s="1246">
        <f>'3 Regrese - SP lin'!$B$43+'3 Regrese - SP lin'!$B$44*'4 Vnější potenciál'!B9</f>
        <v>266.90756410240795</v>
      </c>
      <c r="O9" s="1244">
        <f t="shared" si="7"/>
        <v>3.2048224990479879E-2</v>
      </c>
      <c r="P9" s="1221">
        <f t="shared" si="3"/>
        <v>265369.569999</v>
      </c>
      <c r="Q9" s="1244">
        <f t="shared" si="8"/>
        <v>1.2244419763371983E-2</v>
      </c>
      <c r="R9" s="990">
        <v>6.0900000000000003E-2</v>
      </c>
      <c r="S9" s="978">
        <f t="shared" si="4"/>
        <v>16161.0068129391</v>
      </c>
      <c r="T9" s="1272">
        <f t="shared" si="9"/>
        <v>1.2244419763371983E-2</v>
      </c>
    </row>
    <row r="10" spans="1:22" x14ac:dyDescent="0.2">
      <c r="A10" s="506">
        <v>2001</v>
      </c>
      <c r="B10" s="1216">
        <v>1270.0999999999999</v>
      </c>
      <c r="C10" s="1250">
        <f t="shared" si="0"/>
        <v>6.6325245571320579E-2</v>
      </c>
      <c r="D10" s="953">
        <v>1.0469999999999999</v>
      </c>
      <c r="E10" s="12"/>
      <c r="F10" s="1221">
        <v>27184</v>
      </c>
      <c r="G10" s="1222">
        <v>10224192</v>
      </c>
      <c r="H10" s="1226">
        <f t="shared" si="1"/>
        <v>277.93443532800001</v>
      </c>
      <c r="I10" s="1277">
        <f t="shared" si="2"/>
        <v>4.7348553675718552E-2</v>
      </c>
      <c r="J10" s="1243">
        <f>'1 Regrese - Čas lin'!$B$43+'1 Regrese - Čas lin'!$B$44*(A10-A$4+1)</f>
        <v>277.2679935735307</v>
      </c>
      <c r="K10" s="1261">
        <f t="shared" si="5"/>
        <v>3.5982351437351401E-2</v>
      </c>
      <c r="L10" s="1246">
        <f>EXP('2 Regrese - SP exp'!$B$43+'2 Regrese - SP exp'!$B$44*'4 Vnější potenciál'!B10)</f>
        <v>274.26689232378988</v>
      </c>
      <c r="M10" s="1261">
        <f t="shared" si="6"/>
        <v>3.73895861415936E-2</v>
      </c>
      <c r="N10" s="1246">
        <f>'3 Regrese - SP lin'!$B$43+'3 Regrese - SP lin'!$B$44*'4 Vnější potenciál'!B10</f>
        <v>278.15799037751913</v>
      </c>
      <c r="O10" s="1244">
        <f t="shared" si="7"/>
        <v>4.215102075861199E-2</v>
      </c>
      <c r="P10" s="1221">
        <f t="shared" si="3"/>
        <v>277934.43532799999</v>
      </c>
      <c r="Q10" s="1244">
        <f t="shared" si="8"/>
        <v>4.7348553675718552E-2</v>
      </c>
      <c r="R10" s="990">
        <v>6.1199999999999997E-2</v>
      </c>
      <c r="S10" s="978">
        <f t="shared" si="4"/>
        <v>17009.5874420736</v>
      </c>
      <c r="T10" s="1272">
        <f t="shared" si="9"/>
        <v>5.2507906156879613E-2</v>
      </c>
    </row>
    <row r="11" spans="1:22" x14ac:dyDescent="0.2">
      <c r="A11" s="506">
        <v>2002</v>
      </c>
      <c r="B11" s="1216">
        <v>1325.4</v>
      </c>
      <c r="C11" s="1250">
        <f t="shared" si="0"/>
        <v>4.3539878749704997E-2</v>
      </c>
      <c r="D11" s="953">
        <v>1.018</v>
      </c>
      <c r="E11" s="12"/>
      <c r="F11" s="1221">
        <v>27500</v>
      </c>
      <c r="G11" s="1222">
        <v>10200774</v>
      </c>
      <c r="H11" s="1226">
        <f t="shared" si="1"/>
        <v>280.52128499999998</v>
      </c>
      <c r="I11" s="1277">
        <f t="shared" si="2"/>
        <v>9.3074097455652094E-3</v>
      </c>
      <c r="J11" s="1243">
        <f>'1 Regrese - Čas lin'!$B$43+'1 Regrese - Čas lin'!$B$44*(A11-A$4+1)</f>
        <v>286.89822942962422</v>
      </c>
      <c r="K11" s="1261">
        <f t="shared" si="5"/>
        <v>3.4732591136739321E-2</v>
      </c>
      <c r="L11" s="1246">
        <f>EXP('2 Regrese - SP exp'!$B$43+'2 Regrese - SP exp'!$B$44*'4 Vnější potenciál'!B11)</f>
        <v>281.40557974450883</v>
      </c>
      <c r="M11" s="1261">
        <f t="shared" si="6"/>
        <v>2.6028250658454599E-2</v>
      </c>
      <c r="N11" s="1246">
        <f>'3 Regrese - SP lin'!$B$43+'3 Regrese - SP lin'!$B$44*'4 Vnější potenciál'!B11</f>
        <v>286.03328877009704</v>
      </c>
      <c r="O11" s="1244">
        <f t="shared" si="7"/>
        <v>2.8312321288665787E-2</v>
      </c>
      <c r="P11" s="1221">
        <f t="shared" si="3"/>
        <v>280521.28499999997</v>
      </c>
      <c r="Q11" s="1244">
        <f t="shared" si="8"/>
        <v>9.3074097455652094E-3</v>
      </c>
      <c r="R11" s="990">
        <v>6.1199999999999997E-2</v>
      </c>
      <c r="S11" s="978">
        <f t="shared" si="4"/>
        <v>17167.902641999997</v>
      </c>
      <c r="T11" s="1272">
        <f t="shared" si="9"/>
        <v>9.3074097455649873E-3</v>
      </c>
    </row>
    <row r="12" spans="1:22" x14ac:dyDescent="0.2">
      <c r="A12" s="506">
        <v>2003</v>
      </c>
      <c r="B12" s="1216">
        <v>1390.4</v>
      </c>
      <c r="C12" s="1250">
        <f t="shared" si="0"/>
        <v>4.9041798702278649E-2</v>
      </c>
      <c r="D12" s="953">
        <v>1.0009999999999999</v>
      </c>
      <c r="E12" s="12"/>
      <c r="F12" s="1221">
        <v>28025</v>
      </c>
      <c r="G12" s="1222">
        <v>10201651</v>
      </c>
      <c r="H12" s="1226">
        <f t="shared" si="1"/>
        <v>285.901269275</v>
      </c>
      <c r="I12" s="1277">
        <f t="shared" si="2"/>
        <v>1.9178524278469666E-2</v>
      </c>
      <c r="J12" s="1243">
        <f>'1 Regrese - Čas lin'!$B$43+'1 Regrese - Čas lin'!$B$44*(A12-A$4+1)</f>
        <v>296.52846528571774</v>
      </c>
      <c r="K12" s="1261">
        <f t="shared" si="5"/>
        <v>3.356673157321044E-2</v>
      </c>
      <c r="L12" s="1246">
        <f>EXP('2 Regrese - SP exp'!$B$43+'2 Regrese - SP exp'!$B$44*'4 Vnější potenciál'!B12)</f>
        <v>290.03435544093514</v>
      </c>
      <c r="M12" s="1261">
        <f t="shared" si="6"/>
        <v>3.0663129367443531E-2</v>
      </c>
      <c r="N12" s="1246">
        <f>'3 Regrese - SP lin'!$B$43+'3 Regrese - SP lin'!$B$44*'4 Vnější potenciál'!B12</f>
        <v>295.28996861670754</v>
      </c>
      <c r="O12" s="1244">
        <f t="shared" si="7"/>
        <v>3.2362246668605987E-2</v>
      </c>
      <c r="P12" s="1221">
        <f t="shared" si="3"/>
        <v>285901.26927500003</v>
      </c>
      <c r="Q12" s="1244">
        <f t="shared" si="8"/>
        <v>1.9178524278469888E-2</v>
      </c>
      <c r="R12" s="990">
        <v>6.13E-2</v>
      </c>
      <c r="S12" s="978">
        <f t="shared" si="4"/>
        <v>17525.747806557501</v>
      </c>
      <c r="T12" s="1272">
        <f t="shared" si="9"/>
        <v>2.0843848664545916E-2</v>
      </c>
    </row>
    <row r="13" spans="1:22" x14ac:dyDescent="0.2">
      <c r="A13" s="506">
        <v>2004</v>
      </c>
      <c r="B13" s="1216">
        <v>1481.5</v>
      </c>
      <c r="C13" s="1250">
        <f t="shared" si="0"/>
        <v>6.5520713463751434E-2</v>
      </c>
      <c r="D13" s="953">
        <v>1.028</v>
      </c>
      <c r="E13" s="12"/>
      <c r="F13" s="1221">
        <v>28658</v>
      </c>
      <c r="G13" s="1222">
        <v>10206923</v>
      </c>
      <c r="H13" s="1226">
        <f t="shared" si="1"/>
        <v>292.50999933399999</v>
      </c>
      <c r="I13" s="1277">
        <f t="shared" si="2"/>
        <v>2.3115427489212248E-2</v>
      </c>
      <c r="J13" s="1243">
        <f>'1 Regrese - Čas lin'!$B$43+'1 Regrese - Čas lin'!$B$44*(A13-A$4+1)</f>
        <v>306.15870114181121</v>
      </c>
      <c r="K13" s="1261">
        <f t="shared" si="5"/>
        <v>3.2476598315154481E-2</v>
      </c>
      <c r="L13" s="1246">
        <f>EXP('2 Regrese - SP exp'!$B$43+'2 Regrese - SP exp'!$B$44*'4 Vnější potenciál'!B13)</f>
        <v>302.57501259471996</v>
      </c>
      <c r="M13" s="1261">
        <f t="shared" si="6"/>
        <v>4.3238523018141795E-2</v>
      </c>
      <c r="N13" s="1246">
        <f>'3 Regrese - SP lin'!$B$43+'3 Regrese - SP lin'!$B$44*'4 Vnější potenciál'!B13</f>
        <v>308.26356144788008</v>
      </c>
      <c r="O13" s="1244">
        <f t="shared" si="7"/>
        <v>4.3935095025231075E-2</v>
      </c>
      <c r="P13" s="1221">
        <f t="shared" si="3"/>
        <v>292509.99933399999</v>
      </c>
      <c r="Q13" s="1244">
        <f t="shared" si="8"/>
        <v>2.3115427489212026E-2</v>
      </c>
      <c r="R13" s="990">
        <v>6.13E-2</v>
      </c>
      <c r="S13" s="978">
        <f t="shared" si="4"/>
        <v>17930.862959174199</v>
      </c>
      <c r="T13" s="1272">
        <f t="shared" si="9"/>
        <v>2.3115427489212026E-2</v>
      </c>
    </row>
    <row r="14" spans="1:22" x14ac:dyDescent="0.2">
      <c r="A14" s="506">
        <v>2005</v>
      </c>
      <c r="B14" s="1216">
        <v>1544.7</v>
      </c>
      <c r="C14" s="1250">
        <f t="shared" si="0"/>
        <v>4.2659466756665543E-2</v>
      </c>
      <c r="D14" s="953">
        <v>1.0189999999999999</v>
      </c>
      <c r="E14" s="12"/>
      <c r="F14" s="1221">
        <v>29158</v>
      </c>
      <c r="G14" s="1222">
        <v>10234092</v>
      </c>
      <c r="H14" s="1226">
        <f t="shared" si="1"/>
        <v>298.40565453599999</v>
      </c>
      <c r="I14" s="1277">
        <f t="shared" si="2"/>
        <v>2.0155397133169828E-2</v>
      </c>
      <c r="J14" s="1243">
        <f>'1 Regrese - Čas lin'!$B$43+'1 Regrese - Čas lin'!$B$44*(A14-A$4+1)</f>
        <v>315.78893699790473</v>
      </c>
      <c r="K14" s="1261">
        <f t="shared" si="5"/>
        <v>3.1455045439433116E-2</v>
      </c>
      <c r="L14" s="1246">
        <f>EXP('2 Regrese - SP exp'!$B$43+'2 Regrese - SP exp'!$B$44*'4 Vnější potenciál'!B14)</f>
        <v>311.59219259332644</v>
      </c>
      <c r="M14" s="1261">
        <f t="shared" si="6"/>
        <v>2.9801469464646235E-2</v>
      </c>
      <c r="N14" s="1246">
        <f>'3 Regrese - SP lin'!$B$43+'3 Regrese - SP lin'!$B$44*'4 Vnější potenciál'!B14</f>
        <v>317.26390246796905</v>
      </c>
      <c r="O14" s="1244">
        <f t="shared" si="7"/>
        <v>2.9196902085395271E-2</v>
      </c>
      <c r="P14" s="1221">
        <f t="shared" si="3"/>
        <v>298405.65453599999</v>
      </c>
      <c r="Q14" s="1244">
        <f t="shared" si="8"/>
        <v>2.0155397133169828E-2</v>
      </c>
      <c r="R14" s="990">
        <v>6.1199999999999997E-2</v>
      </c>
      <c r="S14" s="978">
        <f t="shared" si="4"/>
        <v>18262.426057603199</v>
      </c>
      <c r="T14" s="1272">
        <f t="shared" si="9"/>
        <v>1.8491195832789353E-2</v>
      </c>
    </row>
    <row r="15" spans="1:22" x14ac:dyDescent="0.2">
      <c r="A15" s="506">
        <v>2006</v>
      </c>
      <c r="B15" s="1216">
        <v>1631</v>
      </c>
      <c r="C15" s="1250">
        <f t="shared" si="0"/>
        <v>5.5868453421376252E-2</v>
      </c>
      <c r="D15" s="953">
        <v>1.0249999999999999</v>
      </c>
      <c r="E15" s="12"/>
      <c r="F15" s="1221">
        <v>31050</v>
      </c>
      <c r="G15" s="1222">
        <v>10266646</v>
      </c>
      <c r="H15" s="1226">
        <f t="shared" si="1"/>
        <v>318.77935830000001</v>
      </c>
      <c r="I15" s="1277">
        <f t="shared" si="2"/>
        <v>6.8275193362805853E-2</v>
      </c>
      <c r="J15" s="1243">
        <f>'1 Regrese - Čas lin'!$B$43+'1 Regrese - Čas lin'!$B$44*(A15-A$4+1)</f>
        <v>325.41917285399825</v>
      </c>
      <c r="K15" s="1261">
        <f t="shared" si="5"/>
        <v>3.0495798705441723E-2</v>
      </c>
      <c r="L15" s="1246">
        <f>EXP('2 Regrese - SP exp'!$B$43+'2 Regrese - SP exp'!$B$44*'4 Vnější potenciál'!B15)</f>
        <v>324.34078391838693</v>
      </c>
      <c r="M15" s="1261">
        <f t="shared" si="6"/>
        <v>4.0914347753569169E-2</v>
      </c>
      <c r="N15" s="1246">
        <f>'3 Regrese - SP lin'!$B$43+'3 Regrese - SP lin'!$B$44*'4 Vnější potenciál'!B15</f>
        <v>329.5539250950842</v>
      </c>
      <c r="O15" s="1244">
        <f t="shared" si="7"/>
        <v>3.8737538470377864E-2</v>
      </c>
      <c r="P15" s="1221">
        <f t="shared" si="3"/>
        <v>318779.35830000002</v>
      </c>
      <c r="Q15" s="1244">
        <f t="shared" si="8"/>
        <v>6.8275193362805853E-2</v>
      </c>
      <c r="R15" s="990">
        <v>6.1199999999999997E-2</v>
      </c>
      <c r="S15" s="978">
        <f t="shared" si="4"/>
        <v>19509.296727960002</v>
      </c>
      <c r="T15" s="1272">
        <f t="shared" si="9"/>
        <v>6.8275193362805853E-2</v>
      </c>
    </row>
    <row r="16" spans="1:22" x14ac:dyDescent="0.2">
      <c r="A16" s="506">
        <v>2007</v>
      </c>
      <c r="B16" s="1216">
        <v>1749.5</v>
      </c>
      <c r="C16" s="1250">
        <f t="shared" si="0"/>
        <v>7.2654812998160567E-2</v>
      </c>
      <c r="D16" s="953">
        <v>1.028</v>
      </c>
      <c r="E16" s="12"/>
      <c r="F16" s="1221">
        <v>32393</v>
      </c>
      <c r="G16" s="1222">
        <v>10322689</v>
      </c>
      <c r="H16" s="1226">
        <f t="shared" si="1"/>
        <v>334.38286477700001</v>
      </c>
      <c r="I16" s="1277">
        <f t="shared" si="2"/>
        <v>4.8947668883616124E-2</v>
      </c>
      <c r="J16" s="1243">
        <f>'1 Regrese - Čas lin'!$B$43+'1 Regrese - Čas lin'!$B$44*(A16-A$4+1)</f>
        <v>335.04940871009171</v>
      </c>
      <c r="K16" s="1261">
        <f t="shared" si="5"/>
        <v>2.9593326575180434E-2</v>
      </c>
      <c r="L16" s="1246">
        <f>EXP('2 Regrese - SP exp'!$B$43+'2 Regrese - SP exp'!$B$44*'4 Vnější potenciál'!B16)</f>
        <v>342.70022380634532</v>
      </c>
      <c r="M16" s="1261">
        <f t="shared" si="6"/>
        <v>5.6605400240316683E-2</v>
      </c>
      <c r="N16" s="1246">
        <f>'3 Regrese - SP lin'!$B$43+'3 Regrese - SP lin'!$B$44*'4 Vnější potenciál'!B16</f>
        <v>346.42956450775102</v>
      </c>
      <c r="O16" s="1244">
        <f t="shared" si="7"/>
        <v>5.1207520613804958E-2</v>
      </c>
      <c r="P16" s="1221">
        <f t="shared" si="3"/>
        <v>334382.86477699998</v>
      </c>
      <c r="Q16" s="1244">
        <f t="shared" si="8"/>
        <v>4.8947668883615902E-2</v>
      </c>
      <c r="R16" s="990">
        <v>6.1199999999999997E-2</v>
      </c>
      <c r="S16" s="978">
        <f t="shared" si="4"/>
        <v>20464.231324352397</v>
      </c>
      <c r="T16" s="1272">
        <f t="shared" si="9"/>
        <v>4.8947668883615902E-2</v>
      </c>
    </row>
    <row r="17" spans="1:21" x14ac:dyDescent="0.2">
      <c r="A17" s="506">
        <v>2008</v>
      </c>
      <c r="B17" s="1216">
        <v>1887</v>
      </c>
      <c r="C17" s="1250">
        <f t="shared" si="0"/>
        <v>7.8593883966847633E-2</v>
      </c>
      <c r="D17" s="953">
        <v>1.0629999999999999</v>
      </c>
      <c r="E17" s="12"/>
      <c r="F17" s="1221">
        <v>34856</v>
      </c>
      <c r="G17" s="1222">
        <v>10429692</v>
      </c>
      <c r="H17" s="1226">
        <f t="shared" si="1"/>
        <v>363.53734435199999</v>
      </c>
      <c r="I17" s="1277">
        <f t="shared" si="2"/>
        <v>8.7188916197733723E-2</v>
      </c>
      <c r="J17" s="1243">
        <f>'1 Regrese - Čas lin'!$B$43+'1 Regrese - Čas lin'!$B$44*(A17-A$4+1)</f>
        <v>344.67964456618523</v>
      </c>
      <c r="K17" s="1261">
        <f t="shared" si="5"/>
        <v>2.8742733476740057E-2</v>
      </c>
      <c r="L17" s="1246">
        <f>EXP('2 Regrese - SP exp'!$B$43+'2 Regrese - SP exp'!$B$44*'4 Vnější potenciál'!B17)</f>
        <v>365.30981267851092</v>
      </c>
      <c r="M17" s="1261">
        <f t="shared" si="6"/>
        <v>6.5974829607762242E-2</v>
      </c>
      <c r="N17" s="1246">
        <f>'3 Regrese - SP lin'!$B$43+'3 Regrese - SP lin'!$B$44*'4 Vnější potenciál'!B17</f>
        <v>366.0110026448117</v>
      </c>
      <c r="O17" s="1244">
        <f t="shared" si="7"/>
        <v>5.652357692070642E-2</v>
      </c>
      <c r="P17" s="1221">
        <f t="shared" si="3"/>
        <v>363537.34435199999</v>
      </c>
      <c r="Q17" s="1244">
        <f t="shared" si="8"/>
        <v>8.7188916197733723E-2</v>
      </c>
      <c r="R17" s="990">
        <v>6.08E-2</v>
      </c>
      <c r="S17" s="978">
        <f t="shared" si="4"/>
        <v>22103.070536601597</v>
      </c>
      <c r="T17" s="1272">
        <f t="shared" si="9"/>
        <v>8.0083106287944794E-2</v>
      </c>
    </row>
    <row r="18" spans="1:21" x14ac:dyDescent="0.2">
      <c r="A18" s="506">
        <v>2009</v>
      </c>
      <c r="B18" s="1216">
        <v>1890.9</v>
      </c>
      <c r="C18" s="1250">
        <f t="shared" si="0"/>
        <v>2.0667726550080978E-3</v>
      </c>
      <c r="D18" s="953">
        <v>1.01</v>
      </c>
      <c r="E18" s="12"/>
      <c r="F18" s="1221">
        <v>35856</v>
      </c>
      <c r="G18" s="1222">
        <v>10491492</v>
      </c>
      <c r="H18" s="1226">
        <f t="shared" si="1"/>
        <v>376.18293715200002</v>
      </c>
      <c r="I18" s="1277">
        <f t="shared" si="2"/>
        <v>3.4784852220727469E-2</v>
      </c>
      <c r="J18" s="1243">
        <f>'1 Regrese - Čas lin'!$B$43+'1 Regrese - Čas lin'!$B$44*(A18-A$4+1)</f>
        <v>354.30988042227875</v>
      </c>
      <c r="K18" s="1261">
        <f t="shared" si="5"/>
        <v>2.7939670960883678E-2</v>
      </c>
      <c r="L18" s="1246">
        <f>EXP('2 Regrese - SP exp'!$B$43+'2 Regrese - SP exp'!$B$44*'4 Vnější potenciál'!B18)</f>
        <v>365.97240706000821</v>
      </c>
      <c r="M18" s="1261">
        <f t="shared" si="6"/>
        <v>1.813787526371291E-3</v>
      </c>
      <c r="N18" s="1246">
        <f>'3 Regrese - SP lin'!$B$43+'3 Regrese - SP lin'!$B$44*'4 Vnější potenciál'!B18</f>
        <v>366.56640343560832</v>
      </c>
      <c r="O18" s="1244">
        <f t="shared" si="7"/>
        <v>1.5174428822719577E-3</v>
      </c>
      <c r="P18" s="1221">
        <f t="shared" si="3"/>
        <v>376182.93715200003</v>
      </c>
      <c r="Q18" s="1244">
        <f t="shared" si="8"/>
        <v>3.4784852220727469E-2</v>
      </c>
      <c r="R18" s="990">
        <v>6.0699999999999997E-2</v>
      </c>
      <c r="S18" s="978">
        <f t="shared" si="4"/>
        <v>22834.3042851264</v>
      </c>
      <c r="T18" s="1272">
        <f t="shared" si="9"/>
        <v>3.3082903450627699E-2</v>
      </c>
    </row>
    <row r="19" spans="1:21" x14ac:dyDescent="0.2">
      <c r="A19" s="506">
        <v>2010</v>
      </c>
      <c r="B19" s="1216">
        <v>1919.9</v>
      </c>
      <c r="C19" s="1250">
        <f t="shared" si="0"/>
        <v>1.5336612195250954E-2</v>
      </c>
      <c r="D19" s="953">
        <v>1.0149999999999999</v>
      </c>
      <c r="E19" s="12"/>
      <c r="F19" s="1221">
        <v>34998</v>
      </c>
      <c r="G19" s="1222">
        <v>10517247</v>
      </c>
      <c r="H19" s="1226">
        <f t="shared" si="1"/>
        <v>368.08261050599998</v>
      </c>
      <c r="I19" s="1277">
        <f t="shared" si="2"/>
        <v>-2.1532945399719283E-2</v>
      </c>
      <c r="J19" s="1243">
        <f>'1 Regrese - Čas lin'!$B$43+'1 Regrese - Čas lin'!$B$44*(A19-A$4+1)</f>
        <v>363.94011627837222</v>
      </c>
      <c r="K19" s="1261">
        <f t="shared" si="5"/>
        <v>2.7180263346356037E-2</v>
      </c>
      <c r="L19" s="1246">
        <f>EXP('2 Regrese - SP exp'!$B$43+'2 Regrese - SP exp'!$B$44*'4 Vnější potenciál'!B19)</f>
        <v>370.93723166176466</v>
      </c>
      <c r="M19" s="1261">
        <f t="shared" si="6"/>
        <v>1.3566117297314051E-2</v>
      </c>
      <c r="N19" s="1246">
        <f>'3 Regrese - SP lin'!$B$43+'3 Regrese - SP lin'!$B$44*'4 Vnější potenciál'!B19</f>
        <v>370.69630675178837</v>
      </c>
      <c r="O19" s="1244">
        <f t="shared" si="7"/>
        <v>1.1266453437829949E-2</v>
      </c>
      <c r="P19" s="1221">
        <f t="shared" si="3"/>
        <v>368082.610506</v>
      </c>
      <c r="Q19" s="1244">
        <f t="shared" si="8"/>
        <v>-2.1532945399719283E-2</v>
      </c>
      <c r="R19" s="990">
        <v>6.0699999999999997E-2</v>
      </c>
      <c r="S19" s="978">
        <f t="shared" si="4"/>
        <v>22342.6144577142</v>
      </c>
      <c r="T19" s="1272">
        <f t="shared" si="9"/>
        <v>-2.1532945399719172E-2</v>
      </c>
    </row>
    <row r="20" spans="1:21" x14ac:dyDescent="0.2">
      <c r="A20" s="506">
        <v>2011</v>
      </c>
      <c r="B20" s="1216">
        <v>1952</v>
      </c>
      <c r="C20" s="1250">
        <f t="shared" si="0"/>
        <v>1.6719620813584024E-2</v>
      </c>
      <c r="D20" s="953">
        <v>1.0190000000000001</v>
      </c>
      <c r="E20" s="12"/>
      <c r="F20" s="1221">
        <v>35279</v>
      </c>
      <c r="G20" s="1222">
        <v>10496672</v>
      </c>
      <c r="H20" s="1226">
        <f t="shared" si="1"/>
        <v>370.31209148800002</v>
      </c>
      <c r="I20" s="1277">
        <f t="shared" si="2"/>
        <v>6.0570125248111673E-3</v>
      </c>
      <c r="J20" s="1243">
        <f>'1 Regrese - Čas lin'!$B$43+'1 Regrese - Čas lin'!$B$44*(A20-A$4+1)</f>
        <v>373.57035213446574</v>
      </c>
      <c r="K20" s="1261">
        <f t="shared" si="5"/>
        <v>2.6461045170210085E-2</v>
      </c>
      <c r="L20" s="1246">
        <f>EXP('2 Regrese - SP exp'!$B$43+'2 Regrese - SP exp'!$B$44*'4 Vnější potenciál'!B20)</f>
        <v>376.51135472386835</v>
      </c>
      <c r="M20" s="1261">
        <f t="shared" si="6"/>
        <v>1.5027132857847958E-2</v>
      </c>
      <c r="N20" s="1246">
        <f>'3 Regrese - SP lin'!$B$43+'3 Regrese - SP lin'!$B$44*'4 Vnější potenciál'!B20</f>
        <v>375.26768249142219</v>
      </c>
      <c r="O20" s="1244">
        <f t="shared" si="7"/>
        <v>1.2331862110227965E-2</v>
      </c>
      <c r="P20" s="1221">
        <f t="shared" si="3"/>
        <v>370312.09148800001</v>
      </c>
      <c r="Q20" s="1244">
        <f t="shared" si="8"/>
        <v>6.0570125248111673E-3</v>
      </c>
      <c r="R20" s="990">
        <v>6.0600000000000001E-2</v>
      </c>
      <c r="S20" s="978">
        <f t="shared" si="4"/>
        <v>22440.912744172801</v>
      </c>
      <c r="T20" s="1272">
        <f t="shared" si="9"/>
        <v>4.3995874629909615E-3</v>
      </c>
    </row>
    <row r="21" spans="1:21" x14ac:dyDescent="0.2">
      <c r="A21" s="506">
        <v>2012</v>
      </c>
      <c r="B21" s="1216">
        <v>1970.4</v>
      </c>
      <c r="C21" s="1250">
        <f t="shared" si="0"/>
        <v>9.4262295081968261E-3</v>
      </c>
      <c r="D21" s="953">
        <v>1.0329999999999999</v>
      </c>
      <c r="E21" s="12"/>
      <c r="F21" s="1221">
        <v>36667</v>
      </c>
      <c r="G21" s="1222">
        <v>10509286</v>
      </c>
      <c r="H21" s="1226">
        <f t="shared" si="1"/>
        <v>385.34398976199998</v>
      </c>
      <c r="I21" s="1277">
        <f t="shared" si="2"/>
        <v>4.0592512692735117E-2</v>
      </c>
      <c r="J21" s="1243">
        <f>'1 Regrese - Čas lin'!$B$43+'1 Regrese - Čas lin'!$B$44*(A21-A$4+1)</f>
        <v>383.20058799055926</v>
      </c>
      <c r="K21" s="1261">
        <f t="shared" si="5"/>
        <v>2.5778908312903637E-2</v>
      </c>
      <c r="L21" s="1246">
        <f>EXP('2 Regrese - SP exp'!$B$43+'2 Regrese - SP exp'!$B$44*'4 Vnější potenciál'!B21)</f>
        <v>379.74417818516025</v>
      </c>
      <c r="M21" s="1261">
        <f t="shared" si="6"/>
        <v>8.5862575476982617E-3</v>
      </c>
      <c r="N21" s="1246">
        <f>'3 Regrese - SP lin'!$B$43+'3 Regrese - SP lin'!$B$44*'4 Vnější potenciál'!B21</f>
        <v>377.88803494030884</v>
      </c>
      <c r="O21" s="1244">
        <f t="shared" si="7"/>
        <v>6.9826221951487799E-3</v>
      </c>
      <c r="P21" s="1221">
        <f t="shared" si="3"/>
        <v>385343.98976199998</v>
      </c>
      <c r="Q21" s="1244">
        <f t="shared" si="8"/>
        <v>4.0592512692735339E-2</v>
      </c>
      <c r="R21" s="990">
        <v>6.0600000000000001E-2</v>
      </c>
      <c r="S21" s="978">
        <f t="shared" si="4"/>
        <v>23351.845779577201</v>
      </c>
      <c r="T21" s="1272">
        <f t="shared" si="9"/>
        <v>4.0592512692735339E-2</v>
      </c>
    </row>
    <row r="22" spans="1:21" x14ac:dyDescent="0.2">
      <c r="A22" s="506">
        <v>2013</v>
      </c>
      <c r="B22" s="1216">
        <v>1996.6</v>
      </c>
      <c r="C22" s="1250">
        <f t="shared" si="0"/>
        <v>1.3296792529435608E-2</v>
      </c>
      <c r="D22" s="953">
        <v>1.014</v>
      </c>
      <c r="E22" s="12"/>
      <c r="F22" s="1221">
        <v>37365</v>
      </c>
      <c r="G22" s="1222">
        <v>10510719</v>
      </c>
      <c r="H22" s="1226">
        <f t="shared" si="1"/>
        <v>392.73301543500003</v>
      </c>
      <c r="I22" s="1277">
        <f t="shared" si="2"/>
        <v>1.9175141871458079E-2</v>
      </c>
      <c r="J22" s="1243">
        <f>'1 Regrese - Čas lin'!$B$43+'1 Regrese - Čas lin'!$B$44*(A22-A$4+1)</f>
        <v>392.83082384665272</v>
      </c>
      <c r="K22" s="1261">
        <f t="shared" si="5"/>
        <v>2.5131057096213771E-2</v>
      </c>
      <c r="L22" s="1246">
        <f>EXP('2 Regrese - SP exp'!$B$43+'2 Regrese - SP exp'!$B$44*'4 Vnější potenciál'!B22)</f>
        <v>384.39539803065179</v>
      </c>
      <c r="M22" s="1261">
        <f t="shared" si="6"/>
        <v>1.2248297966594768E-2</v>
      </c>
      <c r="N22" s="1246">
        <f>'3 Regrese - SP lin'!$B$43+'3 Regrese - SP lin'!$B$44*'4 Vnější potenciál'!B22</f>
        <v>381.61918897078874</v>
      </c>
      <c r="O22" s="1244">
        <f t="shared" si="7"/>
        <v>9.8737024872175283E-3</v>
      </c>
      <c r="P22" s="1221">
        <f t="shared" si="3"/>
        <v>392733.01543500001</v>
      </c>
      <c r="Q22" s="1244">
        <f t="shared" si="8"/>
        <v>1.9175141871458079E-2</v>
      </c>
      <c r="R22" s="990">
        <v>6.0600000000000001E-2</v>
      </c>
      <c r="S22" s="978">
        <f t="shared" si="4"/>
        <v>23799.620735361001</v>
      </c>
      <c r="T22" s="1272">
        <f t="shared" si="9"/>
        <v>1.9175141871457857E-2</v>
      </c>
    </row>
    <row r="23" spans="1:21" x14ac:dyDescent="0.2">
      <c r="A23" s="506">
        <v>2014</v>
      </c>
      <c r="B23" s="1216">
        <v>2044.3</v>
      </c>
      <c r="C23" s="1250">
        <f t="shared" si="0"/>
        <v>2.3890614043874603E-2</v>
      </c>
      <c r="D23" s="953">
        <v>1.004</v>
      </c>
      <c r="E23" s="12"/>
      <c r="F23" s="1221">
        <v>38172</v>
      </c>
      <c r="G23" s="1222">
        <v>10524783</v>
      </c>
      <c r="H23" s="1226">
        <f t="shared" si="1"/>
        <v>401.75201667599998</v>
      </c>
      <c r="I23" s="1277">
        <f t="shared" si="2"/>
        <v>2.2964713651614677E-2</v>
      </c>
      <c r="J23" s="1243">
        <f>'1 Regrese - Čas lin'!$B$43+'1 Regrese - Čas lin'!$B$44*(A23-A$4+1)</f>
        <v>402.4610597027463</v>
      </c>
      <c r="K23" s="1261">
        <f t="shared" si="5"/>
        <v>2.4514969985789392E-2</v>
      </c>
      <c r="L23" s="1246">
        <f>EXP('2 Regrese - SP exp'!$B$43+'2 Regrese - SP exp'!$B$44*'4 Vnější potenciál'!B23)</f>
        <v>393.01022432162756</v>
      </c>
      <c r="M23" s="1261">
        <f t="shared" si="6"/>
        <v>2.2411366876688765E-2</v>
      </c>
      <c r="N23" s="1246">
        <f>'3 Regrese - SP lin'!$B$43+'3 Regrese - SP lin'!$B$44*'4 Vnější potenciál'!B23</f>
        <v>388.41216787360906</v>
      </c>
      <c r="O23" s="1244">
        <f t="shared" si="7"/>
        <v>1.7800412293576429E-2</v>
      </c>
      <c r="P23" s="1221">
        <f t="shared" si="3"/>
        <v>401752.01667599997</v>
      </c>
      <c r="Q23" s="1244">
        <f t="shared" si="8"/>
        <v>2.2964713651614677E-2</v>
      </c>
      <c r="R23" s="990">
        <v>6.0499999999999998E-2</v>
      </c>
      <c r="S23" s="978">
        <f t="shared" si="4"/>
        <v>24305.997008897997</v>
      </c>
      <c r="T23" s="1272">
        <f t="shared" si="9"/>
        <v>2.1276653068031059E-2</v>
      </c>
    </row>
    <row r="24" spans="1:21" x14ac:dyDescent="0.2">
      <c r="A24" s="506">
        <v>2015</v>
      </c>
      <c r="B24" s="1216">
        <v>2109.5</v>
      </c>
      <c r="C24" s="1250">
        <f t="shared" si="0"/>
        <v>3.1893557697011188E-2</v>
      </c>
      <c r="D24" s="953">
        <v>1.0029999999999999</v>
      </c>
      <c r="E24" s="12"/>
      <c r="F24" s="1221">
        <v>38316</v>
      </c>
      <c r="G24" s="1222">
        <v>10542942</v>
      </c>
      <c r="H24" s="1226">
        <f t="shared" si="1"/>
        <v>403.96336567200001</v>
      </c>
      <c r="I24" s="1277">
        <f t="shared" si="2"/>
        <v>5.5042635860205191E-3</v>
      </c>
      <c r="J24" s="1243">
        <f>'1 Regrese - Čas lin'!$B$43+'1 Regrese - Čas lin'!$B$44*(A24-A$4+1)</f>
        <v>412.09129555883976</v>
      </c>
      <c r="K24" s="1261">
        <f t="shared" si="5"/>
        <v>2.3928366792072442E-2</v>
      </c>
      <c r="L24" s="1246">
        <f>EXP('2 Regrese - SP exp'!$B$43+'2 Regrese - SP exp'!$B$44*'4 Vnější potenciál'!B24)</f>
        <v>405.0987919537227</v>
      </c>
      <c r="M24" s="1261">
        <f t="shared" si="6"/>
        <v>3.0758913850043257E-2</v>
      </c>
      <c r="N24" s="1246">
        <f>'3 Regrese - SP lin'!$B$43+'3 Regrese - SP lin'!$B$44*'4 Vnější potenciál'!B24</f>
        <v>397.69732981205527</v>
      </c>
      <c r="O24" s="1244">
        <f t="shared" si="7"/>
        <v>2.3905435273252396E-2</v>
      </c>
      <c r="P24" s="1221">
        <f t="shared" si="3"/>
        <v>403963.36567199999</v>
      </c>
      <c r="Q24" s="1244">
        <f t="shared" si="8"/>
        <v>5.5042635860205191E-3</v>
      </c>
      <c r="R24" s="990">
        <v>6.0400000000000002E-2</v>
      </c>
      <c r="S24" s="978">
        <f t="shared" si="4"/>
        <v>24399.387286588801</v>
      </c>
      <c r="T24" s="1272">
        <f t="shared" si="9"/>
        <v>3.8422730676965777E-3</v>
      </c>
    </row>
    <row r="25" spans="1:21" ht="13.5" thickBot="1" x14ac:dyDescent="0.25">
      <c r="A25" s="506">
        <v>2016</v>
      </c>
      <c r="B25" s="1216">
        <v>2189.6999999999998</v>
      </c>
      <c r="C25" s="1250">
        <f t="shared" si="0"/>
        <v>3.8018487793315847E-2</v>
      </c>
      <c r="D25" s="1333">
        <v>1.0049999999999999</v>
      </c>
      <c r="E25" s="12"/>
      <c r="F25" s="957"/>
      <c r="G25" s="958">
        <v>10565284</v>
      </c>
      <c r="H25" s="491"/>
      <c r="I25" s="1249"/>
      <c r="J25" s="1243">
        <f>'1 Regrese - Čas lin'!$B$43+'1 Regrese - Čas lin'!$B$44*(A25-A$4+1)</f>
        <v>421.72153141493328</v>
      </c>
      <c r="K25" s="1261">
        <f t="shared" si="5"/>
        <v>2.3369180470152573E-2</v>
      </c>
      <c r="L25" s="1246">
        <f>EXP('2 Regrese - SP exp'!$B$43+'2 Regrese - SP exp'!$B$44*'4 Vnější potenciál'!B25)</f>
        <v>420.47965506829593</v>
      </c>
      <c r="M25" s="1261">
        <f t="shared" si="6"/>
        <v>3.7968178182891998E-2</v>
      </c>
      <c r="N25" s="1246">
        <f>'3 Regrese - SP lin'!$B$43+'3 Regrese - SP lin'!$B$44*'4 Vnější potenciál'!B25</f>
        <v>409.11864863818084</v>
      </c>
      <c r="O25" s="1345">
        <f t="shared" si="7"/>
        <v>2.8718620845463283E-2</v>
      </c>
      <c r="P25" s="1353">
        <f t="shared" ref="P25:P30" si="10">P24*(1+Q25)</f>
        <v>415564.63640619139</v>
      </c>
      <c r="Q25" s="1345">
        <f t="shared" ref="Q25:Q30" si="11">O25</f>
        <v>2.8718620845463283E-2</v>
      </c>
      <c r="R25" s="991">
        <v>6.0499999999999998E-2</v>
      </c>
      <c r="S25" s="981">
        <f t="shared" si="4"/>
        <v>25141.660502574578</v>
      </c>
      <c r="T25" s="1273">
        <f t="shared" si="9"/>
        <v>3.0421797370041803E-2</v>
      </c>
    </row>
    <row r="26" spans="1:21" x14ac:dyDescent="0.2">
      <c r="A26" s="507">
        <v>2017</v>
      </c>
      <c r="B26" s="1217">
        <v>2294.8000000000002</v>
      </c>
      <c r="C26" s="1251">
        <f t="shared" si="0"/>
        <v>4.7997442572041971E-2</v>
      </c>
      <c r="D26" s="953">
        <v>1.012</v>
      </c>
      <c r="E26" s="12"/>
      <c r="F26" s="513"/>
      <c r="G26" s="715"/>
      <c r="H26" s="497"/>
      <c r="I26" s="225"/>
      <c r="J26" s="1225">
        <f>'1 Regrese - Čas lin'!$B$43+'1 Regrese - Čas lin'!$B$44*(A26-A$4+1)</f>
        <v>431.3517672710268</v>
      </c>
      <c r="K26" s="1338">
        <f t="shared" si="5"/>
        <v>2.283553278340511E-2</v>
      </c>
      <c r="L26" s="1225">
        <f>EXP('2 Regrese - SP exp'!$B$43+'2 Regrese - SP exp'!$B$44*'4 Vnější potenciál'!B26)</f>
        <v>441.52342184016857</v>
      </c>
      <c r="M26" s="1338">
        <f t="shared" si="6"/>
        <v>5.0047051071839821E-2</v>
      </c>
      <c r="N26" s="1247">
        <f>'3 Regrese - SP lin'!$B$43+'3 Regrese - SP lin'!$B$44*'4 Vnější potenciál'!B26</f>
        <v>424.08598789785412</v>
      </c>
      <c r="O26" s="1346">
        <f t="shared" si="7"/>
        <v>3.6584348597881178E-2</v>
      </c>
      <c r="P26" s="1267">
        <f t="shared" si="10"/>
        <v>430767.79792942724</v>
      </c>
      <c r="Q26" s="1349">
        <f t="shared" si="11"/>
        <v>3.6584348597881178E-2</v>
      </c>
      <c r="R26" s="1270">
        <v>6.0499999999999998E-2</v>
      </c>
      <c r="S26" s="987">
        <f t="shared" si="4"/>
        <v>26061.451774730347</v>
      </c>
      <c r="T26" s="1274">
        <f t="shared" si="9"/>
        <v>3.6584348597881178E-2</v>
      </c>
      <c r="U26" s="163"/>
    </row>
    <row r="27" spans="1:21" x14ac:dyDescent="0.2">
      <c r="A27" s="506">
        <v>2018</v>
      </c>
      <c r="B27" s="1216">
        <v>2398.1</v>
      </c>
      <c r="C27" s="1250">
        <f t="shared" si="0"/>
        <v>4.5014816105978683E-2</v>
      </c>
      <c r="D27" s="953">
        <v>1.016</v>
      </c>
      <c r="E27" s="12"/>
      <c r="F27" s="514"/>
      <c r="G27" s="746"/>
      <c r="H27" s="235"/>
      <c r="I27" s="208"/>
      <c r="J27" s="1226">
        <f>'1 Regrese - Čas lin'!$B$43+'1 Regrese - Čas lin'!$B$44*(A27-A$4+1)</f>
        <v>440.98200312712027</v>
      </c>
      <c r="K27" s="1261">
        <f t="shared" si="5"/>
        <v>2.2325713227094868E-2</v>
      </c>
      <c r="L27" s="1226">
        <f>EXP('2 Regrese - SP exp'!$B$43+'2 Regrese - SP exp'!$B$44*'4 Vnější potenciál'!B27)</f>
        <v>463.23276897295534</v>
      </c>
      <c r="M27" s="1261">
        <f t="shared" si="6"/>
        <v>4.9169185730413068E-2</v>
      </c>
      <c r="N27" s="1248">
        <f>'3 Regrese - SP lin'!$B$43+'3 Regrese - SP lin'!$B$44*'4 Vnější potenciál'!B27</f>
        <v>438.79698833100588</v>
      </c>
      <c r="O27" s="1347">
        <f t="shared" si="7"/>
        <v>3.468872080889196E-2</v>
      </c>
      <c r="P27" s="1268">
        <f t="shared" si="10"/>
        <v>445710.58180526231</v>
      </c>
      <c r="Q27" s="1350">
        <f t="shared" si="11"/>
        <v>3.468872080889196E-2</v>
      </c>
      <c r="R27" s="1270">
        <v>6.0499999999999998E-2</v>
      </c>
      <c r="S27" s="987">
        <f t="shared" si="4"/>
        <v>26965.49019921837</v>
      </c>
      <c r="T27" s="1274">
        <f t="shared" si="9"/>
        <v>3.468872080889196E-2</v>
      </c>
      <c r="U27" s="163"/>
    </row>
    <row r="28" spans="1:21" x14ac:dyDescent="0.2">
      <c r="A28" s="506">
        <v>2019</v>
      </c>
      <c r="B28" s="1216">
        <v>2501.1999999999998</v>
      </c>
      <c r="C28" s="1250">
        <f t="shared" si="0"/>
        <v>4.299236895875902E-2</v>
      </c>
      <c r="D28" s="953">
        <v>1.018</v>
      </c>
      <c r="E28" s="12"/>
      <c r="F28" s="514"/>
      <c r="G28" s="746"/>
      <c r="H28" s="235"/>
      <c r="I28" s="208"/>
      <c r="J28" s="1226">
        <f>'1 Regrese - Čas lin'!$B$43+'1 Regrese - Čas lin'!$B$44*(A28-A$4+1)</f>
        <v>450.61223898321379</v>
      </c>
      <c r="K28" s="1261">
        <f t="shared" si="5"/>
        <v>2.1838160713596011E-2</v>
      </c>
      <c r="L28" s="1226">
        <f>EXP('2 Regrese - SP exp'!$B$43+'2 Regrese - SP exp'!$B$44*'4 Vnější potenciál'!B28)</f>
        <v>485.96438401906971</v>
      </c>
      <c r="M28" s="1261">
        <f t="shared" si="6"/>
        <v>4.9071690451677696E-2</v>
      </c>
      <c r="N28" s="1248">
        <f>'3 Regrese - SP lin'!$B$43+'3 Regrese - SP lin'!$B$44*'4 Vnější potenciál'!B28</f>
        <v>453.47950667232186</v>
      </c>
      <c r="O28" s="1347">
        <f t="shared" si="7"/>
        <v>3.346084574819419E-2</v>
      </c>
      <c r="P28" s="1268">
        <f t="shared" si="10"/>
        <v>460624.43483138608</v>
      </c>
      <c r="Q28" s="1350">
        <f t="shared" si="11"/>
        <v>3.346084574819419E-2</v>
      </c>
      <c r="R28" s="1270">
        <v>6.0499999999999998E-2</v>
      </c>
      <c r="S28" s="987">
        <f t="shared" si="4"/>
        <v>27867.778307298857</v>
      </c>
      <c r="T28" s="1274">
        <f t="shared" si="9"/>
        <v>3.346084574819419E-2</v>
      </c>
      <c r="U28" s="163"/>
    </row>
    <row r="29" spans="1:21" x14ac:dyDescent="0.2">
      <c r="A29" s="506">
        <v>2020</v>
      </c>
      <c r="B29" s="1216">
        <v>2608.6999999999998</v>
      </c>
      <c r="C29" s="1250">
        <f t="shared" si="0"/>
        <v>4.2979369902446773E-2</v>
      </c>
      <c r="D29" s="953">
        <v>1.02</v>
      </c>
      <c r="E29" s="12"/>
      <c r="F29" s="514"/>
      <c r="G29" s="746"/>
      <c r="H29" s="235"/>
      <c r="I29" s="208"/>
      <c r="J29" s="1226">
        <f>'1 Regrese - Čas lin'!$B$43+'1 Regrese - Čas lin'!$B$44*(A29-A$4+1)</f>
        <v>460.24247483930731</v>
      </c>
      <c r="K29" s="1261">
        <f t="shared" si="5"/>
        <v>2.1371447606091998E-2</v>
      </c>
      <c r="L29" s="1226">
        <f>EXP('2 Regrese - SP exp'!$B$43+'2 Regrese - SP exp'!$B$44*'4 Vnější potenciál'!B29)</f>
        <v>510.85483873491381</v>
      </c>
      <c r="M29" s="1261">
        <f t="shared" si="6"/>
        <v>5.1218680904128622E-2</v>
      </c>
      <c r="N29" s="1248">
        <f>'3 Regrese - SP lin'!$B$43+'3 Regrese - SP lin'!$B$44*'4 Vnější potenciál'!B29</f>
        <v>468.78863103402387</v>
      </c>
      <c r="O29" s="1347">
        <f t="shared" si="7"/>
        <v>3.3759241898364767E-2</v>
      </c>
      <c r="P29" s="1268">
        <f t="shared" si="10"/>
        <v>476174.76655115641</v>
      </c>
      <c r="Q29" s="1350">
        <f t="shared" si="11"/>
        <v>3.3759241898364767E-2</v>
      </c>
      <c r="R29" s="1270">
        <v>6.0499999999999998E-2</v>
      </c>
      <c r="S29" s="987">
        <f t="shared" si="4"/>
        <v>28808.573376344961</v>
      </c>
      <c r="T29" s="1274">
        <f t="shared" si="9"/>
        <v>3.3759241898364767E-2</v>
      </c>
    </row>
    <row r="30" spans="1:21" ht="13.5" thickBot="1" x14ac:dyDescent="0.25">
      <c r="A30" s="508">
        <v>2021</v>
      </c>
      <c r="B30" s="1218">
        <v>2720.9</v>
      </c>
      <c r="C30" s="1252">
        <f t="shared" si="0"/>
        <v>4.3009928316786183E-2</v>
      </c>
      <c r="D30" s="1333">
        <v>1.02</v>
      </c>
      <c r="E30" s="12"/>
      <c r="F30" s="515"/>
      <c r="G30" s="833"/>
      <c r="H30" s="498"/>
      <c r="I30" s="73"/>
      <c r="J30" s="1339">
        <f>'1 Regrese - Čas lin'!$B$43+'1 Regrese - Čas lin'!$B$44*(A30-A$4+1)</f>
        <v>469.87271069540077</v>
      </c>
      <c r="K30" s="1340">
        <f t="shared" si="5"/>
        <v>2.0924265756774973E-2</v>
      </c>
      <c r="L30" s="1339">
        <f>EXP('2 Regrese - SP exp'!$B$43+'2 Regrese - SP exp'!$B$44*'4 Vnější potenciál'!B30)</f>
        <v>538.19421159104627</v>
      </c>
      <c r="M30" s="1340">
        <f t="shared" si="6"/>
        <v>5.3516910838773635E-2</v>
      </c>
      <c r="N30" s="1266">
        <f>'3 Regrese - SP lin'!$B$43+'3 Regrese - SP lin'!$B$44*'4 Vnější potenciál'!B30</f>
        <v>484.7670845538654</v>
      </c>
      <c r="O30" s="1348">
        <f t="shared" si="7"/>
        <v>3.4084558502618378E-2</v>
      </c>
      <c r="P30" s="1269">
        <f t="shared" si="10"/>
        <v>492404.97323913994</v>
      </c>
      <c r="Q30" s="1351">
        <f t="shared" si="11"/>
        <v>3.4084558502618378E-2</v>
      </c>
      <c r="R30" s="1271">
        <v>6.0499999999999998E-2</v>
      </c>
      <c r="S30" s="988">
        <f t="shared" si="4"/>
        <v>29790.500880967968</v>
      </c>
      <c r="T30" s="1275">
        <f t="shared" si="9"/>
        <v>3.4084558502618378E-2</v>
      </c>
    </row>
    <row r="31" spans="1:21" x14ac:dyDescent="0.2">
      <c r="A31" s="8"/>
      <c r="B31" s="12"/>
      <c r="C31" s="980"/>
      <c r="D31" s="980"/>
      <c r="E31" s="12"/>
      <c r="F31" s="12"/>
      <c r="G31" s="12"/>
      <c r="H31" s="1259" t="s">
        <v>805</v>
      </c>
      <c r="I31" s="1260"/>
      <c r="J31" s="1262">
        <f>'1 Regrese - Čas lin'!B32</f>
        <v>0.96735901344199082</v>
      </c>
      <c r="K31" s="1263"/>
      <c r="L31" s="1264">
        <f>'2 Regrese - SP exp'!B32</f>
        <v>0.97972524441905295</v>
      </c>
      <c r="M31" s="1263"/>
      <c r="N31" s="1264">
        <f>'3 Regrese - SP lin'!B32</f>
        <v>0.97218794158996413</v>
      </c>
      <c r="O31" s="1265"/>
      <c r="P31" s="961"/>
      <c r="Q31" s="961"/>
      <c r="R31" s="1223"/>
      <c r="S31" s="987"/>
      <c r="T31" s="1224"/>
    </row>
    <row r="32" spans="1:21" ht="13.5" thickBot="1" x14ac:dyDescent="0.25">
      <c r="C32" s="1227"/>
      <c r="D32" s="1227"/>
      <c r="F32" s="959"/>
      <c r="G32" s="959"/>
      <c r="H32" s="1253" t="s">
        <v>599</v>
      </c>
      <c r="I32" s="1254"/>
      <c r="J32" s="1255">
        <f>'1 Regrese - Čas lin'!B30</f>
        <v>0.98437343664378274</v>
      </c>
      <c r="K32" s="1256"/>
      <c r="L32" s="1257">
        <f>'2 Regrese - SP exp'!B30</f>
        <v>0.99032266569946803</v>
      </c>
      <c r="M32" s="1256"/>
      <c r="N32" s="1257">
        <f>'3 Regrese - SP lin'!B30</f>
        <v>0.98670083840567702</v>
      </c>
      <c r="O32" s="1258"/>
      <c r="P32" s="961"/>
      <c r="Q32" s="961"/>
    </row>
    <row r="33" spans="1:22" ht="13.5" thickBot="1" x14ac:dyDescent="0.25">
      <c r="A33" s="954" t="s">
        <v>588</v>
      </c>
      <c r="F33" s="959"/>
      <c r="G33" s="959"/>
      <c r="H33" s="959"/>
      <c r="I33" s="959"/>
      <c r="J33" s="960"/>
      <c r="K33" s="961"/>
      <c r="L33" s="960"/>
      <c r="M33" s="961"/>
      <c r="N33" s="960"/>
      <c r="O33" s="961"/>
      <c r="P33" s="961"/>
      <c r="Q33" s="961"/>
    </row>
    <row r="34" spans="1:22" ht="21.75" x14ac:dyDescent="0.2">
      <c r="A34" s="1280" t="s">
        <v>807</v>
      </c>
      <c r="B34" s="219"/>
      <c r="C34" s="1279">
        <f>(B24/B4)^(1/20)-1</f>
        <v>5.171615567736465E-2</v>
      </c>
      <c r="D34" s="1335">
        <f>GEOMEAN(D4:D24)</f>
        <v>1.0356363390649963</v>
      </c>
      <c r="E34" s="509"/>
      <c r="F34" s="1278">
        <f>(F24/F4)^(1/20)-1</f>
        <v>3.3390773682458796E-2</v>
      </c>
      <c r="G34" s="1279">
        <f>(G24/G4)^(1/20)-1</f>
        <v>1.0170606333577137E-3</v>
      </c>
      <c r="H34" s="218"/>
      <c r="I34" s="1283">
        <f>(H24/H4)^(1/20)-1</f>
        <v>3.444179475724618E-2</v>
      </c>
      <c r="J34" s="1337"/>
      <c r="K34" s="1341">
        <f>(J24/J4)^(1/20)-1</f>
        <v>3.1998993295014655E-2</v>
      </c>
      <c r="L34" s="1342"/>
      <c r="M34" s="1341">
        <f>(L24/L4)^(1/20)-1</f>
        <v>3.1621374869813756E-2</v>
      </c>
      <c r="N34" s="1343"/>
      <c r="O34" s="1283">
        <f>(N24/N4)^(1/20)-1</f>
        <v>3.3220560795458987E-2</v>
      </c>
      <c r="P34" s="982"/>
      <c r="Q34" s="1283">
        <f>(P24/P4)^(1/20)-1</f>
        <v>3.444179475724618E-2</v>
      </c>
      <c r="R34" s="656"/>
      <c r="S34" s="1287"/>
      <c r="T34" s="1291">
        <f>(S24/S4)^(1/20)-1</f>
        <v>3.4185564586253214E-2</v>
      </c>
    </row>
    <row r="35" spans="1:22" ht="22.5" thickBot="1" x14ac:dyDescent="0.25">
      <c r="A35" s="1281" t="s">
        <v>814</v>
      </c>
      <c r="B35" s="13"/>
      <c r="C35" s="1282">
        <f>(B30/B24)^(1/6)-1</f>
        <v>4.333115277683719E-2</v>
      </c>
      <c r="D35" s="1334">
        <f>GEOMEAN(D25:D30)</f>
        <v>1.0151527621079006</v>
      </c>
      <c r="E35" s="509"/>
      <c r="F35" s="983"/>
      <c r="G35" s="984"/>
      <c r="H35" s="985"/>
      <c r="I35" s="986"/>
      <c r="J35" s="1284"/>
      <c r="K35" s="1344">
        <f>(J30/J24)^(1/6)-1</f>
        <v>2.21103756681853E-2</v>
      </c>
      <c r="L35" s="1285"/>
      <c r="M35" s="1289">
        <f>(L30/L24)^(1/6)-1</f>
        <v>4.8486909006923096E-2</v>
      </c>
      <c r="N35" s="1286"/>
      <c r="O35" s="1290">
        <f>(N30/N24)^(1/6)-1</f>
        <v>3.3546628885633645E-2</v>
      </c>
      <c r="P35" s="1213"/>
      <c r="Q35" s="1290">
        <f>(P30/P24)^(1/6)-1</f>
        <v>3.3546628885633645E-2</v>
      </c>
      <c r="R35" s="98"/>
      <c r="S35" s="1288"/>
      <c r="T35" s="1292">
        <f>(S30/S24)^(1/6)-1</f>
        <v>3.383162732988243E-2</v>
      </c>
      <c r="V35" s="19"/>
    </row>
    <row r="36" spans="1:22" x14ac:dyDescent="0.2">
      <c r="F36" s="20"/>
      <c r="G36" s="20"/>
      <c r="H36" s="20"/>
      <c r="I36" s="20"/>
      <c r="J36" s="19"/>
      <c r="K36" s="19"/>
      <c r="L36" s="19"/>
      <c r="M36" s="19"/>
      <c r="N36" s="19"/>
      <c r="O36" s="19"/>
      <c r="P36" s="19"/>
      <c r="Q36" s="19"/>
      <c r="R36" s="19"/>
    </row>
    <row r="37" spans="1:22" x14ac:dyDescent="0.2">
      <c r="A37" s="1" t="s">
        <v>602</v>
      </c>
      <c r="F37" t="s">
        <v>793</v>
      </c>
      <c r="G37" s="20"/>
      <c r="H37" s="20"/>
      <c r="I37" s="20"/>
      <c r="J37" s="19"/>
      <c r="K37" s="956"/>
      <c r="L37" s="19"/>
      <c r="M37" s="19"/>
      <c r="N37" s="19"/>
      <c r="O37" s="19"/>
      <c r="P37" s="19"/>
      <c r="Q37" s="19"/>
      <c r="R37" s="19"/>
    </row>
    <row r="38" spans="1:22" x14ac:dyDescent="0.2">
      <c r="G38" s="20"/>
      <c r="H38" s="20"/>
      <c r="I38" s="20"/>
      <c r="J38" s="19"/>
      <c r="K38" s="956"/>
      <c r="L38" s="19"/>
      <c r="M38" s="19"/>
      <c r="N38" s="19"/>
      <c r="O38" s="19"/>
      <c r="P38" s="19"/>
      <c r="Q38" s="19"/>
      <c r="R38" s="19"/>
    </row>
    <row r="39" spans="1:22" ht="14.25" x14ac:dyDescent="0.2">
      <c r="A39" s="1" t="s">
        <v>791</v>
      </c>
      <c r="F39" s="66" t="s">
        <v>816</v>
      </c>
      <c r="K39" s="956"/>
    </row>
    <row r="40" spans="1:22" x14ac:dyDescent="0.2">
      <c r="K40" s="956"/>
    </row>
    <row r="41" spans="1:22" x14ac:dyDescent="0.2">
      <c r="A41" s="1" t="s">
        <v>792</v>
      </c>
      <c r="F41" t="s">
        <v>794</v>
      </c>
      <c r="K41" s="955"/>
    </row>
    <row r="43" spans="1:22" ht="14.25" x14ac:dyDescent="0.2">
      <c r="A43" s="1" t="s">
        <v>435</v>
      </c>
      <c r="F43" t="s">
        <v>600</v>
      </c>
    </row>
    <row r="44" spans="1:22" x14ac:dyDescent="0.2">
      <c r="F44" t="s">
        <v>795</v>
      </c>
    </row>
  </sheetData>
  <mergeCells count="5">
    <mergeCell ref="A2:D2"/>
    <mergeCell ref="R2:T2"/>
    <mergeCell ref="S1:T1"/>
    <mergeCell ref="P2:Q2"/>
    <mergeCell ref="F2:I2"/>
  </mergeCells>
  <phoneticPr fontId="0" type="noConversion"/>
  <hyperlinks>
    <hyperlink ref="S1" location="Obsah!A1" display="Skok na obsah" xr:uid="{00000000-0004-0000-0400-000000000000}"/>
  </hyperlinks>
  <pageMargins left="0.39370078740157483" right="0.39370078740157483" top="0.78740157480314965" bottom="0.78740157480314965" header="0.51181102362204722" footer="0.51181102362204722"/>
  <pageSetup paperSize="9" scale="80" orientation="landscape" r:id="rId1"/>
  <headerFooter alignWithMargins="0">
    <oddHeader>&amp;LMařík, M. a kol.: Metody oceňování podniku - 1. díl, Ekopress 2024&amp;RPříklad UNIPO, a.s.</oddHeader>
    <oddFooter>&amp;C&amp;A&amp;R&amp;"Arial CE,kurzíva"© M. Mařík, P. Maříková</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6"/>
  <sheetViews>
    <sheetView workbookViewId="0"/>
  </sheetViews>
  <sheetFormatPr defaultRowHeight="12.75" x14ac:dyDescent="0.2"/>
  <cols>
    <col min="1" max="1" width="3.85546875" customWidth="1"/>
    <col min="2" max="2" width="4.140625" customWidth="1"/>
    <col min="3" max="3" width="32.140625" customWidth="1"/>
    <col min="4" max="4" width="6.42578125" customWidth="1"/>
    <col min="5" max="11" width="5.42578125" customWidth="1"/>
    <col min="12" max="12" width="6.140625" customWidth="1"/>
    <col min="13" max="13" width="6.42578125" customWidth="1"/>
  </cols>
  <sheetData>
    <row r="1" spans="1:13" ht="17.25" customHeight="1" x14ac:dyDescent="0.2">
      <c r="A1" s="927" t="s">
        <v>585</v>
      </c>
      <c r="L1" s="1498" t="s">
        <v>557</v>
      </c>
      <c r="M1" s="1498"/>
    </row>
    <row r="2" spans="1:13" ht="9.75" customHeight="1" thickBot="1" x14ac:dyDescent="0.25">
      <c r="A2" s="927"/>
    </row>
    <row r="3" spans="1:13" ht="32.25" customHeight="1" thickTop="1" thickBot="1" x14ac:dyDescent="0.25">
      <c r="A3" s="1511" t="s">
        <v>560</v>
      </c>
      <c r="B3" s="1512"/>
      <c r="C3" s="1513"/>
      <c r="D3" s="1505" t="s">
        <v>259</v>
      </c>
      <c r="E3" s="1508" t="s">
        <v>586</v>
      </c>
      <c r="F3" s="1509"/>
      <c r="G3" s="1509"/>
      <c r="H3" s="1509"/>
      <c r="I3" s="1509"/>
      <c r="J3" s="1509"/>
      <c r="K3" s="1510"/>
      <c r="L3" s="1293" t="s">
        <v>561</v>
      </c>
      <c r="M3" s="1293" t="s">
        <v>259</v>
      </c>
    </row>
    <row r="4" spans="1:13" ht="16.5" thickTop="1" thickBot="1" x14ac:dyDescent="0.25">
      <c r="A4" s="1514"/>
      <c r="B4" s="1515"/>
      <c r="C4" s="1516"/>
      <c r="D4" s="1506"/>
      <c r="E4" s="1294" t="s">
        <v>562</v>
      </c>
      <c r="F4" s="1295"/>
      <c r="G4" s="1295"/>
      <c r="H4" s="1296" t="s">
        <v>143</v>
      </c>
      <c r="I4" s="1297"/>
      <c r="J4" s="1297"/>
      <c r="K4" s="1298" t="s">
        <v>563</v>
      </c>
      <c r="L4" s="1299"/>
      <c r="M4" s="1300" t="s">
        <v>564</v>
      </c>
    </row>
    <row r="5" spans="1:13" ht="16.5" thickTop="1" thickBot="1" x14ac:dyDescent="0.25">
      <c r="A5" s="1517"/>
      <c r="B5" s="1518"/>
      <c r="C5" s="1519"/>
      <c r="D5" s="1507"/>
      <c r="E5" s="1301">
        <v>0</v>
      </c>
      <c r="F5" s="1301">
        <v>1</v>
      </c>
      <c r="G5" s="1302">
        <v>2</v>
      </c>
      <c r="H5" s="1303">
        <v>3</v>
      </c>
      <c r="I5" s="1304">
        <v>4</v>
      </c>
      <c r="J5" s="1301">
        <v>5</v>
      </c>
      <c r="K5" s="1305">
        <v>6</v>
      </c>
      <c r="L5" s="1305"/>
      <c r="M5" s="1305" t="s">
        <v>561</v>
      </c>
    </row>
    <row r="6" spans="1:13" ht="19.5" customHeight="1" thickTop="1" x14ac:dyDescent="0.2">
      <c r="A6" s="1499" t="s">
        <v>565</v>
      </c>
      <c r="B6" s="1320">
        <v>1</v>
      </c>
      <c r="C6" s="1321" t="s">
        <v>566</v>
      </c>
      <c r="D6" s="1306">
        <v>3</v>
      </c>
      <c r="E6" s="928" t="str">
        <f t="shared" ref="E6:K15" si="0">IF(E$5=$L6,"x","")</f>
        <v/>
      </c>
      <c r="F6" s="928" t="str">
        <f t="shared" si="0"/>
        <v/>
      </c>
      <c r="G6" s="929" t="str">
        <f t="shared" si="0"/>
        <v>x</v>
      </c>
      <c r="H6" s="930" t="str">
        <f t="shared" si="0"/>
        <v/>
      </c>
      <c r="I6" s="931" t="str">
        <f t="shared" si="0"/>
        <v/>
      </c>
      <c r="J6" s="928" t="str">
        <f t="shared" si="0"/>
        <v/>
      </c>
      <c r="K6" s="932" t="str">
        <f t="shared" si="0"/>
        <v/>
      </c>
      <c r="L6" s="1306">
        <v>2</v>
      </c>
      <c r="M6" s="1306">
        <f t="shared" ref="M6:M21" si="1">D6*L6</f>
        <v>6</v>
      </c>
    </row>
    <row r="7" spans="1:13" ht="19.5" customHeight="1" x14ac:dyDescent="0.2">
      <c r="A7" s="1500"/>
      <c r="B7" s="1322">
        <v>2</v>
      </c>
      <c r="C7" s="1323" t="s">
        <v>567</v>
      </c>
      <c r="D7" s="1307">
        <v>1</v>
      </c>
      <c r="E7" s="928" t="str">
        <f t="shared" si="0"/>
        <v/>
      </c>
      <c r="F7" s="928" t="str">
        <f t="shared" si="0"/>
        <v/>
      </c>
      <c r="G7" s="933" t="str">
        <f t="shared" si="0"/>
        <v/>
      </c>
      <c r="H7" s="930" t="str">
        <f t="shared" si="0"/>
        <v/>
      </c>
      <c r="I7" s="934" t="str">
        <f t="shared" si="0"/>
        <v>x</v>
      </c>
      <c r="J7" s="928" t="str">
        <f t="shared" si="0"/>
        <v/>
      </c>
      <c r="K7" s="932" t="str">
        <f t="shared" si="0"/>
        <v/>
      </c>
      <c r="L7" s="1307">
        <v>4</v>
      </c>
      <c r="M7" s="1307">
        <f t="shared" si="1"/>
        <v>4</v>
      </c>
    </row>
    <row r="8" spans="1:13" ht="19.5" customHeight="1" x14ac:dyDescent="0.2">
      <c r="A8" s="1500"/>
      <c r="B8" s="1322">
        <v>3</v>
      </c>
      <c r="C8" s="1323" t="s">
        <v>568</v>
      </c>
      <c r="D8" s="1307">
        <v>1</v>
      </c>
      <c r="E8" s="928" t="str">
        <f t="shared" si="0"/>
        <v/>
      </c>
      <c r="F8" s="928" t="str">
        <f t="shared" si="0"/>
        <v/>
      </c>
      <c r="G8" s="933" t="str">
        <f t="shared" si="0"/>
        <v/>
      </c>
      <c r="H8" s="930" t="str">
        <f t="shared" si="0"/>
        <v/>
      </c>
      <c r="I8" s="934" t="str">
        <f t="shared" si="0"/>
        <v>x</v>
      </c>
      <c r="J8" s="928" t="str">
        <f t="shared" si="0"/>
        <v/>
      </c>
      <c r="K8" s="932" t="str">
        <f t="shared" si="0"/>
        <v/>
      </c>
      <c r="L8" s="1307">
        <v>4</v>
      </c>
      <c r="M8" s="1307">
        <f t="shared" si="1"/>
        <v>4</v>
      </c>
    </row>
    <row r="9" spans="1:13" ht="19.5" customHeight="1" x14ac:dyDescent="0.2">
      <c r="A9" s="1500"/>
      <c r="B9" s="1322">
        <v>4</v>
      </c>
      <c r="C9" s="1323" t="s">
        <v>569</v>
      </c>
      <c r="D9" s="1307">
        <v>2</v>
      </c>
      <c r="E9" s="928" t="str">
        <f t="shared" si="0"/>
        <v/>
      </c>
      <c r="F9" s="928" t="str">
        <f t="shared" si="0"/>
        <v/>
      </c>
      <c r="G9" s="933" t="str">
        <f t="shared" si="0"/>
        <v/>
      </c>
      <c r="H9" s="930" t="str">
        <f t="shared" si="0"/>
        <v/>
      </c>
      <c r="I9" s="934" t="str">
        <f t="shared" si="0"/>
        <v/>
      </c>
      <c r="J9" s="928" t="str">
        <f t="shared" si="0"/>
        <v>x</v>
      </c>
      <c r="K9" s="932" t="str">
        <f t="shared" si="0"/>
        <v/>
      </c>
      <c r="L9" s="1307">
        <v>5</v>
      </c>
      <c r="M9" s="1307">
        <f t="shared" si="1"/>
        <v>10</v>
      </c>
    </row>
    <row r="10" spans="1:13" ht="19.5" customHeight="1" x14ac:dyDescent="0.2">
      <c r="A10" s="1500"/>
      <c r="B10" s="1322">
        <v>5</v>
      </c>
      <c r="C10" s="1323" t="s">
        <v>627</v>
      </c>
      <c r="D10" s="1307">
        <v>1</v>
      </c>
      <c r="E10" s="928" t="str">
        <f t="shared" si="0"/>
        <v/>
      </c>
      <c r="F10" s="928" t="str">
        <f t="shared" si="0"/>
        <v/>
      </c>
      <c r="G10" s="933" t="str">
        <f t="shared" si="0"/>
        <v/>
      </c>
      <c r="H10" s="930" t="str">
        <f t="shared" si="0"/>
        <v/>
      </c>
      <c r="I10" s="934" t="str">
        <f t="shared" si="0"/>
        <v/>
      </c>
      <c r="J10" s="928" t="str">
        <f t="shared" si="0"/>
        <v>x</v>
      </c>
      <c r="K10" s="932" t="str">
        <f t="shared" si="0"/>
        <v/>
      </c>
      <c r="L10" s="1307">
        <v>5</v>
      </c>
      <c r="M10" s="1307">
        <f t="shared" si="1"/>
        <v>5</v>
      </c>
    </row>
    <row r="11" spans="1:13" ht="19.5" customHeight="1" x14ac:dyDescent="0.2">
      <c r="A11" s="1500"/>
      <c r="B11" s="1322">
        <v>6</v>
      </c>
      <c r="C11" s="1323" t="s">
        <v>570</v>
      </c>
      <c r="D11" s="1307">
        <v>2</v>
      </c>
      <c r="E11" s="928" t="str">
        <f t="shared" si="0"/>
        <v/>
      </c>
      <c r="F11" s="928" t="str">
        <f t="shared" si="0"/>
        <v/>
      </c>
      <c r="G11" s="933" t="str">
        <f t="shared" si="0"/>
        <v>x</v>
      </c>
      <c r="H11" s="930" t="str">
        <f t="shared" si="0"/>
        <v/>
      </c>
      <c r="I11" s="934" t="str">
        <f t="shared" si="0"/>
        <v/>
      </c>
      <c r="J11" s="928" t="str">
        <f t="shared" si="0"/>
        <v/>
      </c>
      <c r="K11" s="932" t="str">
        <f t="shared" si="0"/>
        <v/>
      </c>
      <c r="L11" s="1307">
        <v>2</v>
      </c>
      <c r="M11" s="1307">
        <f t="shared" si="1"/>
        <v>4</v>
      </c>
    </row>
    <row r="12" spans="1:13" ht="19.5" customHeight="1" x14ac:dyDescent="0.2">
      <c r="A12" s="1500"/>
      <c r="B12" s="1322">
        <v>7</v>
      </c>
      <c r="C12" s="1323" t="s">
        <v>571</v>
      </c>
      <c r="D12" s="1307">
        <v>1</v>
      </c>
      <c r="E12" s="928" t="str">
        <f t="shared" si="0"/>
        <v/>
      </c>
      <c r="F12" s="928" t="str">
        <f t="shared" si="0"/>
        <v/>
      </c>
      <c r="G12" s="933" t="str">
        <f t="shared" si="0"/>
        <v/>
      </c>
      <c r="H12" s="930" t="str">
        <f t="shared" si="0"/>
        <v>x</v>
      </c>
      <c r="I12" s="934" t="str">
        <f t="shared" si="0"/>
        <v/>
      </c>
      <c r="J12" s="928" t="str">
        <f t="shared" si="0"/>
        <v/>
      </c>
      <c r="K12" s="932" t="str">
        <f t="shared" si="0"/>
        <v/>
      </c>
      <c r="L12" s="1307">
        <v>3</v>
      </c>
      <c r="M12" s="1307">
        <f t="shared" si="1"/>
        <v>3</v>
      </c>
    </row>
    <row r="13" spans="1:13" ht="19.5" customHeight="1" x14ac:dyDescent="0.2">
      <c r="A13" s="1500"/>
      <c r="B13" s="1322">
        <v>8</v>
      </c>
      <c r="C13" s="1323" t="s">
        <v>572</v>
      </c>
      <c r="D13" s="1307">
        <v>1</v>
      </c>
      <c r="E13" s="928" t="str">
        <f t="shared" si="0"/>
        <v/>
      </c>
      <c r="F13" s="928" t="str">
        <f t="shared" si="0"/>
        <v/>
      </c>
      <c r="G13" s="933" t="str">
        <f t="shared" si="0"/>
        <v/>
      </c>
      <c r="H13" s="930" t="str">
        <f t="shared" si="0"/>
        <v>x</v>
      </c>
      <c r="I13" s="934" t="str">
        <f t="shared" si="0"/>
        <v/>
      </c>
      <c r="J13" s="928" t="str">
        <f t="shared" si="0"/>
        <v/>
      </c>
      <c r="K13" s="932" t="str">
        <f t="shared" si="0"/>
        <v/>
      </c>
      <c r="L13" s="1307">
        <v>3</v>
      </c>
      <c r="M13" s="1307">
        <f t="shared" si="1"/>
        <v>3</v>
      </c>
    </row>
    <row r="14" spans="1:13" ht="19.5" customHeight="1" x14ac:dyDescent="0.2">
      <c r="A14" s="1500"/>
      <c r="B14" s="1322">
        <v>9</v>
      </c>
      <c r="C14" s="1323" t="s">
        <v>573</v>
      </c>
      <c r="D14" s="1307">
        <v>1</v>
      </c>
      <c r="E14" s="928" t="str">
        <f t="shared" si="0"/>
        <v/>
      </c>
      <c r="F14" s="928" t="str">
        <f t="shared" si="0"/>
        <v/>
      </c>
      <c r="G14" s="933" t="str">
        <f t="shared" si="0"/>
        <v/>
      </c>
      <c r="H14" s="930" t="str">
        <f t="shared" si="0"/>
        <v/>
      </c>
      <c r="I14" s="934" t="str">
        <f t="shared" si="0"/>
        <v/>
      </c>
      <c r="J14" s="928" t="str">
        <f t="shared" si="0"/>
        <v>x</v>
      </c>
      <c r="K14" s="932" t="str">
        <f t="shared" si="0"/>
        <v/>
      </c>
      <c r="L14" s="1307">
        <v>5</v>
      </c>
      <c r="M14" s="1307">
        <f t="shared" si="1"/>
        <v>5</v>
      </c>
    </row>
    <row r="15" spans="1:13" ht="19.5" customHeight="1" x14ac:dyDescent="0.2">
      <c r="A15" s="1500"/>
      <c r="B15" s="1322">
        <v>10</v>
      </c>
      <c r="C15" s="1323" t="s">
        <v>574</v>
      </c>
      <c r="D15" s="1307">
        <v>2</v>
      </c>
      <c r="E15" s="928" t="str">
        <f t="shared" si="0"/>
        <v/>
      </c>
      <c r="F15" s="928" t="str">
        <f t="shared" si="0"/>
        <v/>
      </c>
      <c r="G15" s="933" t="str">
        <f t="shared" si="0"/>
        <v/>
      </c>
      <c r="H15" s="930" t="str">
        <f t="shared" si="0"/>
        <v>x</v>
      </c>
      <c r="I15" s="934" t="str">
        <f t="shared" si="0"/>
        <v/>
      </c>
      <c r="J15" s="928" t="str">
        <f t="shared" si="0"/>
        <v/>
      </c>
      <c r="K15" s="932" t="str">
        <f t="shared" si="0"/>
        <v/>
      </c>
      <c r="L15" s="1307">
        <v>3</v>
      </c>
      <c r="M15" s="1307">
        <f t="shared" si="1"/>
        <v>6</v>
      </c>
    </row>
    <row r="16" spans="1:13" ht="19.5" customHeight="1" thickBot="1" x14ac:dyDescent="0.25">
      <c r="A16" s="1500"/>
      <c r="B16" s="1322">
        <v>11</v>
      </c>
      <c r="C16" s="1324" t="s">
        <v>575</v>
      </c>
      <c r="D16" s="1308">
        <v>1</v>
      </c>
      <c r="E16" s="935" t="str">
        <f t="shared" ref="E16:K21" si="2">IF(E$5=$L16,"x","")</f>
        <v/>
      </c>
      <c r="F16" s="935" t="str">
        <f t="shared" si="2"/>
        <v/>
      </c>
      <c r="G16" s="936" t="str">
        <f t="shared" si="2"/>
        <v/>
      </c>
      <c r="H16" s="937" t="str">
        <f t="shared" si="2"/>
        <v/>
      </c>
      <c r="I16" s="938" t="str">
        <f t="shared" si="2"/>
        <v/>
      </c>
      <c r="J16" s="935" t="str">
        <f t="shared" si="2"/>
        <v>x</v>
      </c>
      <c r="K16" s="939" t="str">
        <f t="shared" si="2"/>
        <v/>
      </c>
      <c r="L16" s="1308">
        <v>5</v>
      </c>
      <c r="M16" s="1308">
        <f t="shared" si="1"/>
        <v>5</v>
      </c>
    </row>
    <row r="17" spans="1:13" ht="19.5" customHeight="1" thickTop="1" x14ac:dyDescent="0.2">
      <c r="A17" s="1499" t="s">
        <v>576</v>
      </c>
      <c r="B17" s="1320">
        <v>12</v>
      </c>
      <c r="C17" s="1321" t="s">
        <v>577</v>
      </c>
      <c r="D17" s="1306">
        <v>3</v>
      </c>
      <c r="E17" s="940" t="str">
        <f t="shared" si="2"/>
        <v/>
      </c>
      <c r="F17" s="940" t="str">
        <f t="shared" si="2"/>
        <v/>
      </c>
      <c r="G17" s="929" t="str">
        <f t="shared" si="2"/>
        <v/>
      </c>
      <c r="H17" s="941" t="str">
        <f t="shared" si="2"/>
        <v/>
      </c>
      <c r="I17" s="931" t="str">
        <f t="shared" si="2"/>
        <v/>
      </c>
      <c r="J17" s="940" t="str">
        <f t="shared" si="2"/>
        <v>x</v>
      </c>
      <c r="K17" s="942" t="str">
        <f t="shared" si="2"/>
        <v/>
      </c>
      <c r="L17" s="1306">
        <v>5</v>
      </c>
      <c r="M17" s="1306">
        <f t="shared" si="1"/>
        <v>15</v>
      </c>
    </row>
    <row r="18" spans="1:13" ht="19.5" customHeight="1" x14ac:dyDescent="0.2">
      <c r="A18" s="1500"/>
      <c r="B18" s="1322">
        <v>13</v>
      </c>
      <c r="C18" s="1323" t="s">
        <v>578</v>
      </c>
      <c r="D18" s="1307">
        <v>2</v>
      </c>
      <c r="E18" s="928" t="str">
        <f t="shared" si="2"/>
        <v/>
      </c>
      <c r="F18" s="928" t="str">
        <f t="shared" si="2"/>
        <v/>
      </c>
      <c r="G18" s="933" t="str">
        <f t="shared" si="2"/>
        <v/>
      </c>
      <c r="H18" s="930" t="str">
        <f t="shared" si="2"/>
        <v/>
      </c>
      <c r="I18" s="934" t="str">
        <f t="shared" si="2"/>
        <v/>
      </c>
      <c r="J18" s="928" t="str">
        <f t="shared" si="2"/>
        <v>x</v>
      </c>
      <c r="K18" s="932" t="str">
        <f t="shared" si="2"/>
        <v/>
      </c>
      <c r="L18" s="1307">
        <v>5</v>
      </c>
      <c r="M18" s="1307">
        <f t="shared" si="1"/>
        <v>10</v>
      </c>
    </row>
    <row r="19" spans="1:13" ht="19.5" customHeight="1" x14ac:dyDescent="0.2">
      <c r="A19" s="1500"/>
      <c r="B19" s="1322">
        <v>14</v>
      </c>
      <c r="C19" s="1323" t="s">
        <v>579</v>
      </c>
      <c r="D19" s="1307">
        <v>1</v>
      </c>
      <c r="E19" s="928" t="str">
        <f t="shared" si="2"/>
        <v/>
      </c>
      <c r="F19" s="928" t="str">
        <f t="shared" si="2"/>
        <v/>
      </c>
      <c r="G19" s="933" t="str">
        <f t="shared" si="2"/>
        <v/>
      </c>
      <c r="H19" s="930" t="str">
        <f t="shared" si="2"/>
        <v/>
      </c>
      <c r="I19" s="934" t="str">
        <f t="shared" si="2"/>
        <v>x</v>
      </c>
      <c r="J19" s="928" t="str">
        <f t="shared" si="2"/>
        <v/>
      </c>
      <c r="K19" s="932" t="str">
        <f t="shared" si="2"/>
        <v/>
      </c>
      <c r="L19" s="1307">
        <v>4</v>
      </c>
      <c r="M19" s="1307">
        <f t="shared" si="1"/>
        <v>4</v>
      </c>
    </row>
    <row r="20" spans="1:13" ht="19.5" customHeight="1" x14ac:dyDescent="0.2">
      <c r="A20" s="1500"/>
      <c r="B20" s="1322">
        <v>15</v>
      </c>
      <c r="C20" s="1323" t="s">
        <v>580</v>
      </c>
      <c r="D20" s="1307">
        <v>2</v>
      </c>
      <c r="E20" s="928" t="str">
        <f t="shared" si="2"/>
        <v/>
      </c>
      <c r="F20" s="928" t="str">
        <f t="shared" si="2"/>
        <v/>
      </c>
      <c r="G20" s="933" t="str">
        <f t="shared" si="2"/>
        <v/>
      </c>
      <c r="H20" s="930" t="str">
        <f t="shared" si="2"/>
        <v>x</v>
      </c>
      <c r="I20" s="934" t="str">
        <f t="shared" si="2"/>
        <v/>
      </c>
      <c r="J20" s="928" t="str">
        <f t="shared" si="2"/>
        <v/>
      </c>
      <c r="K20" s="932" t="str">
        <f t="shared" si="2"/>
        <v/>
      </c>
      <c r="L20" s="1307">
        <v>3</v>
      </c>
      <c r="M20" s="1307">
        <f t="shared" si="1"/>
        <v>6</v>
      </c>
    </row>
    <row r="21" spans="1:13" ht="19.5" customHeight="1" thickBot="1" x14ac:dyDescent="0.25">
      <c r="A21" s="1501"/>
      <c r="B21" s="1325">
        <v>16</v>
      </c>
      <c r="C21" s="1326" t="s">
        <v>581</v>
      </c>
      <c r="D21" s="1309">
        <v>1</v>
      </c>
      <c r="E21" s="943" t="str">
        <f t="shared" si="2"/>
        <v/>
      </c>
      <c r="F21" s="943" t="str">
        <f t="shared" si="2"/>
        <v/>
      </c>
      <c r="G21" s="944" t="str">
        <f t="shared" si="2"/>
        <v/>
      </c>
      <c r="H21" s="945" t="str">
        <f t="shared" si="2"/>
        <v/>
      </c>
      <c r="I21" s="946" t="str">
        <f t="shared" si="2"/>
        <v>x</v>
      </c>
      <c r="J21" s="943" t="str">
        <f t="shared" si="2"/>
        <v/>
      </c>
      <c r="K21" s="947" t="str">
        <f t="shared" si="2"/>
        <v/>
      </c>
      <c r="L21" s="1309">
        <v>4</v>
      </c>
      <c r="M21" s="1309">
        <f t="shared" si="1"/>
        <v>4</v>
      </c>
    </row>
    <row r="22" spans="1:13" ht="17.25" thickTop="1" thickBot="1" x14ac:dyDescent="0.25">
      <c r="A22" s="1502" t="s">
        <v>108</v>
      </c>
      <c r="B22" s="1503"/>
      <c r="C22" s="1504"/>
      <c r="D22" s="1310">
        <f>SUM(D6:D21)</f>
        <v>25</v>
      </c>
      <c r="E22" s="948"/>
      <c r="F22" s="948"/>
      <c r="G22" s="949"/>
      <c r="H22" s="950"/>
      <c r="I22" s="951"/>
      <c r="J22" s="948"/>
      <c r="K22" s="952"/>
      <c r="L22" s="1310"/>
      <c r="M22" s="1310">
        <f>SUM(M6:M21)</f>
        <v>94</v>
      </c>
    </row>
    <row r="23" spans="1:13" ht="17.25" customHeight="1" thickTop="1" x14ac:dyDescent="0.2">
      <c r="A23" s="1311"/>
      <c r="B23" s="1311"/>
      <c r="C23" s="1311"/>
      <c r="D23" s="1311"/>
      <c r="E23" s="1311"/>
      <c r="F23" s="1311"/>
      <c r="G23" s="1311"/>
      <c r="H23" s="1311"/>
      <c r="I23" s="1311"/>
      <c r="J23" s="1311"/>
      <c r="K23" s="1311"/>
      <c r="L23" s="1311"/>
      <c r="M23" s="1311"/>
    </row>
    <row r="24" spans="1:13" ht="14.25" x14ac:dyDescent="0.2">
      <c r="A24" s="1312" t="s">
        <v>582</v>
      </c>
      <c r="B24" s="1313"/>
      <c r="C24" s="1313"/>
      <c r="D24" s="1314">
        <f>D22*K5</f>
        <v>150</v>
      </c>
      <c r="E24" s="1311"/>
      <c r="F24" s="1311"/>
      <c r="G24" s="1311"/>
      <c r="H24" s="1311"/>
      <c r="I24" s="1311"/>
      <c r="J24" s="1311"/>
      <c r="K24" s="1311"/>
      <c r="L24" s="1311"/>
      <c r="M24" s="1311"/>
    </row>
    <row r="25" spans="1:13" ht="14.25" x14ac:dyDescent="0.2">
      <c r="A25" s="1315" t="s">
        <v>583</v>
      </c>
      <c r="B25" s="1311"/>
      <c r="C25" s="1311"/>
      <c r="D25" s="1316">
        <f>M22</f>
        <v>94</v>
      </c>
      <c r="E25" s="1311"/>
      <c r="F25" s="1311"/>
      <c r="G25" s="1311"/>
      <c r="H25" s="1311"/>
      <c r="I25" s="1311"/>
      <c r="J25" s="1311"/>
      <c r="K25" s="1311"/>
      <c r="L25" s="1311"/>
      <c r="M25" s="1311"/>
    </row>
    <row r="26" spans="1:13" ht="15" x14ac:dyDescent="0.25">
      <c r="A26" s="1317" t="s">
        <v>584</v>
      </c>
      <c r="B26" s="1318"/>
      <c r="C26" s="1318"/>
      <c r="D26" s="1319">
        <f>D25/D24</f>
        <v>0.62666666666666671</v>
      </c>
      <c r="E26" s="1311"/>
      <c r="F26" s="1311"/>
      <c r="G26" s="1311"/>
      <c r="H26" s="1311"/>
      <c r="I26" s="1311"/>
      <c r="J26" s="1311"/>
      <c r="K26" s="1311"/>
      <c r="L26" s="1311"/>
      <c r="M26" s="1311"/>
    </row>
  </sheetData>
  <mergeCells count="7">
    <mergeCell ref="L1:M1"/>
    <mergeCell ref="A17:A21"/>
    <mergeCell ref="A22:C22"/>
    <mergeCell ref="D3:D5"/>
    <mergeCell ref="E3:K3"/>
    <mergeCell ref="A3:C5"/>
    <mergeCell ref="A6:A16"/>
  </mergeCells>
  <phoneticPr fontId="0" type="noConversion"/>
  <hyperlinks>
    <hyperlink ref="L1" location="Obsah!A1" display="Skok na obsah" xr:uid="{00000000-0004-0000-0500-000000000000}"/>
  </hyperlinks>
  <pageMargins left="0.59055118110236227" right="0.59055118110236227" top="0.98425196850393704" bottom="0.98425196850393704" header="0.51181102362204722" footer="0.51181102362204722"/>
  <pageSetup paperSize="9" scale="94" orientation="portrait" blackAndWhite="1" horizontalDpi="4294967293" r:id="rId1"/>
  <headerFooter alignWithMargins="0">
    <oddHeader>&amp;LMařík, M. a kol.: Metody oceňování podniku - 1. díl, Ekopress 2024&amp;RPříklad UNIPO, a.s.</oddHeader>
    <oddFooter>&amp;C&amp;A&amp;R© M. Mařík, P. Maříková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5"/>
  <sheetViews>
    <sheetView workbookViewId="0"/>
  </sheetViews>
  <sheetFormatPr defaultRowHeight="12.75" x14ac:dyDescent="0.2"/>
  <cols>
    <col min="2" max="2" width="10.85546875" customWidth="1"/>
    <col min="4" max="4" width="11.7109375" customWidth="1"/>
    <col min="5" max="5" width="14.7109375" customWidth="1"/>
    <col min="7" max="7" width="10.42578125" customWidth="1"/>
    <col min="8" max="8" width="11.28515625" customWidth="1"/>
  </cols>
  <sheetData>
    <row r="1" spans="1:12" ht="21" customHeight="1" x14ac:dyDescent="0.2">
      <c r="A1" s="486" t="s">
        <v>438</v>
      </c>
      <c r="H1" s="926" t="s">
        <v>557</v>
      </c>
    </row>
    <row r="2" spans="1:12" ht="13.5" thickBot="1" x14ac:dyDescent="0.25"/>
    <row r="3" spans="1:12" ht="26.25" thickBot="1" x14ac:dyDescent="0.25">
      <c r="A3" s="528" t="s">
        <v>96</v>
      </c>
      <c r="B3" s="499" t="s">
        <v>124</v>
      </c>
      <c r="C3" s="502" t="s">
        <v>145</v>
      </c>
      <c r="D3" s="499" t="s">
        <v>125</v>
      </c>
      <c r="E3" s="505" t="s">
        <v>146</v>
      </c>
      <c r="F3" s="505" t="s">
        <v>123</v>
      </c>
      <c r="G3" s="1520" t="s">
        <v>439</v>
      </c>
      <c r="H3" s="1521"/>
    </row>
    <row r="4" spans="1:12" x14ac:dyDescent="0.2">
      <c r="A4" s="525">
        <v>2005</v>
      </c>
      <c r="B4" s="512">
        <f>'4 Vnější potenciál'!S14</f>
        <v>18262.426057603199</v>
      </c>
      <c r="C4" s="1352">
        <f>'4 Vnější potenciál'!T14</f>
        <v>1.8491195832789353E-2</v>
      </c>
      <c r="D4" s="516">
        <f t="shared" ref="D4:D15" si="0">F4/B4</f>
        <v>4.6384855841610742E-2</v>
      </c>
      <c r="E4" s="212"/>
      <c r="F4" s="521">
        <v>847.1</v>
      </c>
      <c r="H4" s="64"/>
      <c r="J4" s="23"/>
      <c r="K4" s="22"/>
      <c r="L4" s="22"/>
    </row>
    <row r="5" spans="1:12" x14ac:dyDescent="0.2">
      <c r="A5" s="525">
        <v>2006</v>
      </c>
      <c r="B5" s="512">
        <f>'4 Vnější potenciál'!S15</f>
        <v>19509.296727960002</v>
      </c>
      <c r="C5" s="173">
        <f>B5/B4-1</f>
        <v>6.8275193362805853E-2</v>
      </c>
      <c r="D5" s="516">
        <f t="shared" si="0"/>
        <v>5.0719408997551674E-2</v>
      </c>
      <c r="E5" s="178">
        <f>F5/F4-1</f>
        <v>0.16810293944044385</v>
      </c>
      <c r="F5" s="519">
        <v>989.5</v>
      </c>
      <c r="G5" s="70"/>
      <c r="H5" s="64"/>
      <c r="J5" s="23"/>
    </row>
    <row r="6" spans="1:12" x14ac:dyDescent="0.2">
      <c r="A6" s="525">
        <v>2007</v>
      </c>
      <c r="B6" s="512">
        <f>'4 Vnější potenciál'!S16</f>
        <v>20464.231324352397</v>
      </c>
      <c r="C6" s="173">
        <f t="shared" ref="C6:C20" si="1">B6/B5-1</f>
        <v>4.8947668883615902E-2</v>
      </c>
      <c r="D6" s="516">
        <f t="shared" si="0"/>
        <v>5.3468903017036565E-2</v>
      </c>
      <c r="E6" s="178">
        <f>F6/F5-1</f>
        <v>0.10581101566447715</v>
      </c>
      <c r="F6" s="519">
        <v>1094.2</v>
      </c>
      <c r="G6" s="70"/>
      <c r="H6" s="64"/>
      <c r="J6" s="23"/>
    </row>
    <row r="7" spans="1:12" x14ac:dyDescent="0.2">
      <c r="A7" s="525">
        <v>2008</v>
      </c>
      <c r="B7" s="512">
        <f>'4 Vnější potenciál'!S17</f>
        <v>22103.070536601597</v>
      </c>
      <c r="C7" s="173">
        <f t="shared" si="1"/>
        <v>8.0083106287944794E-2</v>
      </c>
      <c r="D7" s="516">
        <f t="shared" si="0"/>
        <v>5.417346870504551E-2</v>
      </c>
      <c r="E7" s="178">
        <f>F7/F6-1</f>
        <v>9.4315481630415032E-2</v>
      </c>
      <c r="F7" s="519">
        <v>1197.4000000000001</v>
      </c>
      <c r="G7" s="70"/>
      <c r="H7" s="64"/>
      <c r="J7" s="23"/>
    </row>
    <row r="8" spans="1:12" x14ac:dyDescent="0.2">
      <c r="A8" s="525">
        <v>2009</v>
      </c>
      <c r="B8" s="512">
        <f>'4 Vnější potenciál'!S18</f>
        <v>22834.3042851264</v>
      </c>
      <c r="C8" s="173">
        <f t="shared" si="1"/>
        <v>3.3082903450627699E-2</v>
      </c>
      <c r="D8" s="516">
        <f t="shared" si="0"/>
        <v>5.0371580655041319E-2</v>
      </c>
      <c r="E8" s="178">
        <f>F8/F7-1</f>
        <v>-3.9418740604643454E-2</v>
      </c>
      <c r="F8" s="519">
        <v>1150.2</v>
      </c>
      <c r="G8" s="70"/>
      <c r="H8" s="64"/>
      <c r="J8" s="23"/>
    </row>
    <row r="9" spans="1:12" x14ac:dyDescent="0.2">
      <c r="A9" s="525">
        <v>2010</v>
      </c>
      <c r="B9" s="512">
        <f>'4 Vnější potenciál'!S19</f>
        <v>22342.6144577142</v>
      </c>
      <c r="C9" s="173">
        <f t="shared" si="1"/>
        <v>-2.1532945399719172E-2</v>
      </c>
      <c r="D9" s="516">
        <f t="shared" si="0"/>
        <v>5.3001854471473153E-2</v>
      </c>
      <c r="E9" s="178">
        <f>F9/F8-1</f>
        <v>2.9560076508433397E-2</v>
      </c>
      <c r="F9" s="519">
        <v>1184.2</v>
      </c>
      <c r="G9" s="70"/>
      <c r="H9" s="64"/>
      <c r="J9" s="23"/>
    </row>
    <row r="10" spans="1:12" x14ac:dyDescent="0.2">
      <c r="A10" s="525">
        <v>2011</v>
      </c>
      <c r="B10" s="512">
        <f>'4 Vnější potenciál'!S20</f>
        <v>22440.912744172801</v>
      </c>
      <c r="C10" s="173">
        <f t="shared" si="1"/>
        <v>4.3995874629909615E-3</v>
      </c>
      <c r="D10" s="516">
        <f t="shared" si="0"/>
        <v>5.9724085881846495E-2</v>
      </c>
      <c r="E10" s="178">
        <f t="shared" ref="E10:E15" si="2">F10/F9-1</f>
        <v>0.13178770477959789</v>
      </c>
      <c r="F10" s="519">
        <v>1340.2629999999999</v>
      </c>
      <c r="G10" s="992">
        <f>(F15/F4)^(1/11)-1</f>
        <v>8.3897025298917516E-2</v>
      </c>
      <c r="H10" s="1327" t="s">
        <v>808</v>
      </c>
      <c r="J10" s="23"/>
    </row>
    <row r="11" spans="1:12" x14ac:dyDescent="0.2">
      <c r="A11" s="525">
        <v>2012</v>
      </c>
      <c r="B11" s="512">
        <f>'4 Vnější potenciál'!S21</f>
        <v>23351.845779577201</v>
      </c>
      <c r="C11" s="173">
        <f t="shared" si="1"/>
        <v>4.0592512692735339E-2</v>
      </c>
      <c r="D11" s="516">
        <f t="shared" si="0"/>
        <v>6.1644035062056797E-2</v>
      </c>
      <c r="E11" s="178">
        <f t="shared" si="2"/>
        <v>7.4044422624514716E-2</v>
      </c>
      <c r="F11" s="519">
        <f>'8 Výsledovka'!D5/1000</f>
        <v>1439.502</v>
      </c>
      <c r="G11" s="1329"/>
      <c r="H11" s="523"/>
      <c r="J11" s="23"/>
    </row>
    <row r="12" spans="1:12" x14ac:dyDescent="0.2">
      <c r="A12" s="525">
        <v>2013</v>
      </c>
      <c r="B12" s="512">
        <f>'4 Vnější potenciál'!S22</f>
        <v>23799.620735361001</v>
      </c>
      <c r="C12" s="173">
        <f t="shared" si="1"/>
        <v>1.9175141871457857E-2</v>
      </c>
      <c r="D12" s="516">
        <f t="shared" si="0"/>
        <v>7.42419393841319E-2</v>
      </c>
      <c r="E12" s="178">
        <f t="shared" si="2"/>
        <v>0.22745921853529905</v>
      </c>
      <c r="F12" s="519">
        <f>'8 Výsledovka'!E5/1000</f>
        <v>1766.93</v>
      </c>
      <c r="G12" s="1329"/>
      <c r="H12" s="523"/>
      <c r="J12" s="23"/>
    </row>
    <row r="13" spans="1:12" x14ac:dyDescent="0.2">
      <c r="A13" s="525">
        <v>2014</v>
      </c>
      <c r="B13" s="512">
        <f>'4 Vnější potenciál'!S23</f>
        <v>24305.997008897997</v>
      </c>
      <c r="C13" s="173">
        <f t="shared" si="1"/>
        <v>2.1276653068031059E-2</v>
      </c>
      <c r="D13" s="516">
        <f t="shared" si="0"/>
        <v>7.5356629038071415E-2</v>
      </c>
      <c r="E13" s="178">
        <f t="shared" si="2"/>
        <v>3.6610392035903994E-2</v>
      </c>
      <c r="F13" s="519">
        <f>'8 Výsledovka'!F5/1000</f>
        <v>1831.6179999999999</v>
      </c>
      <c r="G13" s="1329"/>
      <c r="H13" s="523"/>
      <c r="J13" s="23"/>
    </row>
    <row r="14" spans="1:12" x14ac:dyDescent="0.2">
      <c r="A14" s="525">
        <v>2015</v>
      </c>
      <c r="B14" s="512">
        <f>'4 Vnější potenciál'!S24</f>
        <v>24399.387286588801</v>
      </c>
      <c r="C14" s="173">
        <f>B14/B13-1</f>
        <v>3.8422730676965777E-3</v>
      </c>
      <c r="D14" s="516">
        <f t="shared" si="0"/>
        <v>7.7604079879528928E-2</v>
      </c>
      <c r="E14" s="178">
        <f>F14/F13-1</f>
        <v>3.3781061334841711E-2</v>
      </c>
      <c r="F14" s="519">
        <f>'8 Výsledovka'!G5/1000</f>
        <v>1893.492</v>
      </c>
      <c r="G14" s="1329"/>
      <c r="H14" s="523"/>
      <c r="J14" s="23"/>
    </row>
    <row r="15" spans="1:12" ht="13.5" thickBot="1" x14ac:dyDescent="0.25">
      <c r="A15" s="525">
        <v>2016</v>
      </c>
      <c r="B15" s="512">
        <f>'4 Vnější potenciál'!S25</f>
        <v>25141.660502574578</v>
      </c>
      <c r="C15" s="173">
        <f t="shared" si="1"/>
        <v>3.0421797370041803E-2</v>
      </c>
      <c r="D15" s="516">
        <f t="shared" si="0"/>
        <v>8.1735174165985039E-2</v>
      </c>
      <c r="E15" s="178">
        <f t="shared" si="2"/>
        <v>8.5274191810686295E-2</v>
      </c>
      <c r="F15" s="519">
        <f>'8 Výsledovka'!H5/1000</f>
        <v>2054.9580000000001</v>
      </c>
      <c r="G15" s="1329"/>
      <c r="H15" s="523"/>
      <c r="J15" s="23"/>
    </row>
    <row r="16" spans="1:12" x14ac:dyDescent="0.2">
      <c r="A16" s="527">
        <v>2017</v>
      </c>
      <c r="B16" s="513">
        <f>'4 Vnější potenciál'!S26</f>
        <v>26061.451774730347</v>
      </c>
      <c r="C16" s="175">
        <f t="shared" si="1"/>
        <v>3.6584348597881178E-2</v>
      </c>
      <c r="D16" s="518">
        <v>8.5999999999999993E-2</v>
      </c>
      <c r="E16" s="177">
        <f>ROUND((1+C16)*D16/D15-1,3)</f>
        <v>9.0999999999999998E-2</v>
      </c>
      <c r="F16" s="521">
        <f>F15*(1+E16)</f>
        <v>2241.9591780000001</v>
      </c>
      <c r="G16" s="1330"/>
      <c r="H16" s="522"/>
      <c r="J16" s="23"/>
    </row>
    <row r="17" spans="1:12" x14ac:dyDescent="0.2">
      <c r="A17" s="525">
        <v>2018</v>
      </c>
      <c r="B17" s="514">
        <f>'4 Vnější potenciál'!S27</f>
        <v>26965.49019921837</v>
      </c>
      <c r="C17" s="173">
        <f t="shared" si="1"/>
        <v>3.468872080889196E-2</v>
      </c>
      <c r="D17" s="516">
        <v>0.09</v>
      </c>
      <c r="E17" s="178">
        <f>ROUND((1+C17)*D17/D16-1,3)</f>
        <v>8.3000000000000004E-2</v>
      </c>
      <c r="F17" s="519">
        <f>F16*(1+E17)</f>
        <v>2428.0417897739999</v>
      </c>
      <c r="G17" s="1223"/>
      <c r="H17" s="523"/>
      <c r="J17" s="23"/>
    </row>
    <row r="18" spans="1:12" x14ac:dyDescent="0.2">
      <c r="A18" s="525">
        <v>2019</v>
      </c>
      <c r="B18" s="514">
        <f>'4 Vnější potenciál'!S28</f>
        <v>27867.778307298857</v>
      </c>
      <c r="C18" s="173">
        <f t="shared" si="1"/>
        <v>3.346084574819419E-2</v>
      </c>
      <c r="D18" s="516">
        <v>9.1999999999999998E-2</v>
      </c>
      <c r="E18" s="178">
        <f>ROUND((1+C18)*D18/D17-1,3)</f>
        <v>5.6000000000000001E-2</v>
      </c>
      <c r="F18" s="519">
        <f>F17*(1+E18)</f>
        <v>2564.0121300013438</v>
      </c>
      <c r="G18" s="1223"/>
      <c r="H18" s="523"/>
      <c r="J18" s="23"/>
    </row>
    <row r="19" spans="1:12" x14ac:dyDescent="0.2">
      <c r="A19" s="525">
        <v>2020</v>
      </c>
      <c r="B19" s="512">
        <f>'4 Vnější potenciál'!S29</f>
        <v>28808.573376344961</v>
      </c>
      <c r="C19" s="173">
        <f t="shared" si="1"/>
        <v>3.3759241898364767E-2</v>
      </c>
      <c r="D19" s="516">
        <v>9.2999999999999999E-2</v>
      </c>
      <c r="E19" s="178">
        <f>ROUND((1+C19)*D19/D18-1,3)</f>
        <v>4.4999999999999998E-2</v>
      </c>
      <c r="F19" s="519">
        <f>F18*(1+E19)</f>
        <v>2679.392675851404</v>
      </c>
      <c r="G19" s="67"/>
      <c r="H19" s="64"/>
      <c r="J19" s="23"/>
    </row>
    <row r="20" spans="1:12" ht="13.5" thickBot="1" x14ac:dyDescent="0.25">
      <c r="A20" s="526">
        <v>2021</v>
      </c>
      <c r="B20" s="1331">
        <f>'4 Vnější potenciál'!S30</f>
        <v>29790.500880967968</v>
      </c>
      <c r="C20" s="174">
        <f t="shared" si="1"/>
        <v>3.4084558502618378E-2</v>
      </c>
      <c r="D20" s="517">
        <v>9.2999999999999999E-2</v>
      </c>
      <c r="E20" s="179">
        <f>ROUND((1+C20)*D20/D19-1,3)</f>
        <v>3.4000000000000002E-2</v>
      </c>
      <c r="F20" s="520">
        <f>F19*(1+E20)</f>
        <v>2770.4920268303517</v>
      </c>
      <c r="G20" s="510">
        <f>(F20/F15)^(1/5)-1</f>
        <v>6.1575265321873074E-2</v>
      </c>
      <c r="H20" s="1328" t="s">
        <v>809</v>
      </c>
      <c r="J20" s="23"/>
    </row>
    <row r="25" spans="1:12" x14ac:dyDescent="0.2">
      <c r="L25" s="163"/>
    </row>
  </sheetData>
  <mergeCells count="1">
    <mergeCell ref="G3:H3"/>
  </mergeCells>
  <phoneticPr fontId="0" type="noConversion"/>
  <hyperlinks>
    <hyperlink ref="H1" location="Obsah!A1" display="Skok na obsah" xr:uid="{00000000-0004-0000-0600-000000000000}"/>
  </hyperlinks>
  <pageMargins left="0.78740157480314965" right="0.78740157480314965"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0"/>
  <sheetViews>
    <sheetView workbookViewId="0">
      <pane xSplit="2" ySplit="3" topLeftCell="C4" activePane="bottomRight" state="frozen"/>
      <selection pane="topRight" activeCell="C1" sqref="C1"/>
      <selection pane="bottomLeft" activeCell="A4" sqref="A4"/>
      <selection pane="bottomRight"/>
    </sheetView>
  </sheetViews>
  <sheetFormatPr defaultRowHeight="12.75" x14ac:dyDescent="0.2"/>
  <cols>
    <col min="1" max="1" width="8" customWidth="1"/>
    <col min="2" max="2" width="40.7109375" customWidth="1"/>
    <col min="3" max="7" width="9.7109375" customWidth="1"/>
    <col min="8" max="8" width="9.140625" style="7"/>
  </cols>
  <sheetData>
    <row r="1" spans="1:14" ht="21" customHeight="1" x14ac:dyDescent="0.2">
      <c r="A1" s="486" t="s">
        <v>444</v>
      </c>
      <c r="G1" s="926" t="s">
        <v>557</v>
      </c>
      <c r="H1"/>
    </row>
    <row r="2" spans="1:14" ht="21" customHeight="1" thickBot="1" x14ac:dyDescent="0.25">
      <c r="A2" s="547" t="s">
        <v>443</v>
      </c>
      <c r="H2"/>
    </row>
    <row r="3" spans="1:14" ht="13.5" thickBot="1" x14ac:dyDescent="0.25">
      <c r="A3" s="548"/>
      <c r="B3" s="549" t="s">
        <v>155</v>
      </c>
      <c r="C3" s="550">
        <v>2012</v>
      </c>
      <c r="D3" s="551">
        <f>výchozí_rok+1</f>
        <v>2013</v>
      </c>
      <c r="E3" s="551">
        <f>výchozí_rok+2</f>
        <v>2014</v>
      </c>
      <c r="F3" s="551">
        <f>výchozí_rok+3</f>
        <v>2015</v>
      </c>
      <c r="G3" s="552">
        <f>výchozí_rok+4</f>
        <v>2016</v>
      </c>
    </row>
    <row r="4" spans="1:14" s="1" customFormat="1" ht="13.5" thickBot="1" x14ac:dyDescent="0.25">
      <c r="A4" s="553"/>
      <c r="B4" s="554" t="s">
        <v>0</v>
      </c>
      <c r="C4" s="555">
        <f>C5+C14+C24</f>
        <v>539585.32700000005</v>
      </c>
      <c r="D4" s="556">
        <f>D5+D14+D24</f>
        <v>647959.26774869999</v>
      </c>
      <c r="E4" s="556">
        <f>E5+E14+E24</f>
        <v>655324.91061746445</v>
      </c>
      <c r="F4" s="556">
        <f>F5+F14+F24</f>
        <v>668251.57388066547</v>
      </c>
      <c r="G4" s="557">
        <f>G5+G14+G24</f>
        <v>730789.54405488214</v>
      </c>
      <c r="H4" s="8"/>
    </row>
    <row r="5" spans="1:14" s="1" customFormat="1" x14ac:dyDescent="0.2">
      <c r="A5" s="561" t="s">
        <v>2</v>
      </c>
      <c r="B5" s="562" t="s">
        <v>309</v>
      </c>
      <c r="C5" s="563">
        <f>C6+C7+C11</f>
        <v>372118</v>
      </c>
      <c r="D5" s="564">
        <f>D6+D7+D11</f>
        <v>438968</v>
      </c>
      <c r="E5" s="564">
        <f>E6+E7+E11</f>
        <v>434654</v>
      </c>
      <c r="F5" s="564">
        <f>F6+F7+F11</f>
        <v>427756</v>
      </c>
      <c r="G5" s="565">
        <f>G6+G7+G11</f>
        <v>460694</v>
      </c>
      <c r="H5" s="9"/>
      <c r="I5" s="6"/>
      <c r="J5" s="6"/>
      <c r="K5" s="6"/>
    </row>
    <row r="6" spans="1:14" s="1" customFormat="1" x14ac:dyDescent="0.2">
      <c r="A6" s="197" t="s">
        <v>3</v>
      </c>
      <c r="B6" s="198" t="s">
        <v>4</v>
      </c>
      <c r="C6" s="532">
        <v>648</v>
      </c>
      <c r="D6" s="533">
        <v>992</v>
      </c>
      <c r="E6" s="533">
        <v>1702</v>
      </c>
      <c r="F6" s="533">
        <v>1874</v>
      </c>
      <c r="G6" s="534">
        <v>2164</v>
      </c>
      <c r="H6" s="9"/>
      <c r="I6" s="6"/>
      <c r="J6" s="6"/>
      <c r="K6" s="6"/>
    </row>
    <row r="7" spans="1:14" s="1" customFormat="1" x14ac:dyDescent="0.2">
      <c r="A7" s="189" t="s">
        <v>5</v>
      </c>
      <c r="B7" s="193" t="s">
        <v>919</v>
      </c>
      <c r="C7" s="535">
        <f>SUM(C8:C10)</f>
        <v>370196</v>
      </c>
      <c r="D7" s="536">
        <f>SUM(D8:D10)</f>
        <v>436702</v>
      </c>
      <c r="E7" s="536">
        <f>SUM(E8:E10)</f>
        <v>431678</v>
      </c>
      <c r="F7" s="536">
        <f>SUM(F8:F10)</f>
        <v>416608</v>
      </c>
      <c r="G7" s="537">
        <f>SUM(G8:G10)</f>
        <v>450024</v>
      </c>
      <c r="H7" s="9"/>
      <c r="I7" s="6"/>
      <c r="J7" s="6"/>
      <c r="K7" s="6"/>
    </row>
    <row r="8" spans="1:14" x14ac:dyDescent="0.2">
      <c r="A8" s="190" t="s">
        <v>684</v>
      </c>
      <c r="B8" s="194" t="s">
        <v>7</v>
      </c>
      <c r="C8" s="168">
        <v>14524</v>
      </c>
      <c r="D8" s="153">
        <v>14524</v>
      </c>
      <c r="E8" s="153">
        <v>14524</v>
      </c>
      <c r="F8" s="153">
        <v>14524</v>
      </c>
      <c r="G8" s="166">
        <v>14524</v>
      </c>
      <c r="H8" s="9"/>
      <c r="I8" s="6"/>
      <c r="J8" s="6"/>
      <c r="K8" s="6"/>
    </row>
    <row r="9" spans="1:14" x14ac:dyDescent="0.2">
      <c r="A9" s="190" t="s">
        <v>685</v>
      </c>
      <c r="B9" s="194" t="s">
        <v>9</v>
      </c>
      <c r="C9" s="168">
        <v>317466</v>
      </c>
      <c r="D9" s="153">
        <v>352702</v>
      </c>
      <c r="E9" s="153">
        <v>336494</v>
      </c>
      <c r="F9" s="153">
        <v>329438</v>
      </c>
      <c r="G9" s="166">
        <v>351000</v>
      </c>
      <c r="H9" s="9"/>
      <c r="I9" s="9"/>
      <c r="J9" s="9"/>
      <c r="K9" s="9"/>
      <c r="L9" s="6"/>
      <c r="M9" s="6"/>
      <c r="N9" s="6"/>
    </row>
    <row r="10" spans="1:14" x14ac:dyDescent="0.2">
      <c r="A10" s="199" t="s">
        <v>8</v>
      </c>
      <c r="B10" s="200" t="s">
        <v>686</v>
      </c>
      <c r="C10" s="538">
        <v>38206</v>
      </c>
      <c r="D10" s="539">
        <v>69476</v>
      </c>
      <c r="E10" s="539">
        <v>80660</v>
      </c>
      <c r="F10" s="539">
        <v>72646</v>
      </c>
      <c r="G10" s="540">
        <v>84500</v>
      </c>
      <c r="H10" s="9"/>
      <c r="I10" s="9"/>
      <c r="J10" s="9"/>
      <c r="K10" s="6"/>
      <c r="L10" s="6"/>
      <c r="M10" s="6"/>
    </row>
    <row r="11" spans="1:14" s="1" customFormat="1" x14ac:dyDescent="0.2">
      <c r="A11" s="189" t="s">
        <v>10</v>
      </c>
      <c r="B11" s="193" t="s">
        <v>11</v>
      </c>
      <c r="C11" s="535">
        <f>C12+C13</f>
        <v>1274</v>
      </c>
      <c r="D11" s="536">
        <f>D12+D13</f>
        <v>1274</v>
      </c>
      <c r="E11" s="536">
        <f>E12+E13</f>
        <v>1274</v>
      </c>
      <c r="F11" s="536">
        <f>F12+F13</f>
        <v>9274</v>
      </c>
      <c r="G11" s="537">
        <f>G12+G13</f>
        <v>8506</v>
      </c>
      <c r="H11" s="9"/>
      <c r="I11" s="6"/>
      <c r="J11" s="6"/>
      <c r="K11" s="6"/>
    </row>
    <row r="12" spans="1:14" x14ac:dyDescent="0.2">
      <c r="A12" s="190" t="s">
        <v>13</v>
      </c>
      <c r="B12" s="194" t="s">
        <v>12</v>
      </c>
      <c r="C12" s="168">
        <v>1274</v>
      </c>
      <c r="D12" s="153">
        <v>1274</v>
      </c>
      <c r="E12" s="153">
        <v>1274</v>
      </c>
      <c r="F12" s="153">
        <v>1274</v>
      </c>
      <c r="G12" s="166">
        <v>1274</v>
      </c>
      <c r="H12" s="1004"/>
      <c r="I12" s="1004"/>
      <c r="J12" s="1004"/>
      <c r="K12" s="1004"/>
    </row>
    <row r="13" spans="1:14" ht="13.5" thickBot="1" x14ac:dyDescent="0.25">
      <c r="A13" s="1480" t="s">
        <v>923</v>
      </c>
      <c r="B13" s="1481" t="s">
        <v>924</v>
      </c>
      <c r="C13" s="541">
        <v>0</v>
      </c>
      <c r="D13" s="542">
        <v>0</v>
      </c>
      <c r="E13" s="542">
        <v>0</v>
      </c>
      <c r="F13" s="542">
        <v>8000</v>
      </c>
      <c r="G13" s="543">
        <v>7232</v>
      </c>
      <c r="H13" s="10"/>
      <c r="I13" s="6"/>
      <c r="J13" s="6"/>
      <c r="K13" s="6"/>
    </row>
    <row r="14" spans="1:14" s="1" customFormat="1" x14ac:dyDescent="0.2">
      <c r="A14" s="561" t="s">
        <v>14</v>
      </c>
      <c r="B14" s="562" t="s">
        <v>15</v>
      </c>
      <c r="C14" s="563">
        <f>C15+C18+C23</f>
        <v>165317.32700000005</v>
      </c>
      <c r="D14" s="564">
        <f>D15+D18+D23</f>
        <v>205243.26774869999</v>
      </c>
      <c r="E14" s="564">
        <f>E15+E18+E23</f>
        <v>217468.91061746445</v>
      </c>
      <c r="F14" s="564">
        <f>F15+F18+F23</f>
        <v>231457.57388066547</v>
      </c>
      <c r="G14" s="565">
        <f>G15+G18+G23</f>
        <v>256209.54405488214</v>
      </c>
      <c r="H14" s="9"/>
      <c r="I14" s="6"/>
      <c r="J14" s="6"/>
      <c r="K14" s="6"/>
    </row>
    <row r="15" spans="1:14" s="1" customFormat="1" x14ac:dyDescent="0.2">
      <c r="A15" s="189" t="s">
        <v>16</v>
      </c>
      <c r="B15" s="193" t="s">
        <v>17</v>
      </c>
      <c r="C15" s="535">
        <f>C16+C17</f>
        <v>108746</v>
      </c>
      <c r="D15" s="536">
        <f>D16+D17</f>
        <v>137642</v>
      </c>
      <c r="E15" s="536">
        <f>E16+E17</f>
        <v>138478</v>
      </c>
      <c r="F15" s="536">
        <f>F16+F17</f>
        <v>141368</v>
      </c>
      <c r="G15" s="537">
        <f>G16+G17</f>
        <v>146268</v>
      </c>
      <c r="H15" s="9"/>
      <c r="I15" s="6"/>
      <c r="J15" s="6"/>
      <c r="K15" s="6"/>
    </row>
    <row r="16" spans="1:14" x14ac:dyDescent="0.2">
      <c r="A16" s="190" t="s">
        <v>18</v>
      </c>
      <c r="B16" s="194" t="s">
        <v>19</v>
      </c>
      <c r="C16" s="168">
        <v>1998</v>
      </c>
      <c r="D16" s="153">
        <v>1896</v>
      </c>
      <c r="E16" s="153">
        <v>2038</v>
      </c>
      <c r="F16" s="153">
        <v>2258</v>
      </c>
      <c r="G16" s="166">
        <v>1990</v>
      </c>
      <c r="H16" s="1008"/>
      <c r="I16" s="6"/>
      <c r="J16" s="6"/>
      <c r="K16" s="6"/>
      <c r="L16" s="6"/>
      <c r="M16" s="6"/>
      <c r="N16" s="6"/>
    </row>
    <row r="17" spans="1:14" x14ac:dyDescent="0.2">
      <c r="A17" s="199" t="s">
        <v>687</v>
      </c>
      <c r="B17" s="200" t="s">
        <v>20</v>
      </c>
      <c r="C17" s="538">
        <v>106748</v>
      </c>
      <c r="D17" s="539">
        <v>135746</v>
      </c>
      <c r="E17" s="539">
        <v>136440</v>
      </c>
      <c r="F17" s="539">
        <v>139110</v>
      </c>
      <c r="G17" s="540">
        <v>144278</v>
      </c>
      <c r="H17" s="9"/>
      <c r="I17" s="6"/>
      <c r="J17" s="6"/>
      <c r="K17" s="6"/>
      <c r="L17" s="6"/>
      <c r="M17" s="6"/>
    </row>
    <row r="18" spans="1:14" x14ac:dyDescent="0.2">
      <c r="A18" s="559" t="s">
        <v>21</v>
      </c>
      <c r="B18" s="560" t="s">
        <v>181</v>
      </c>
      <c r="C18" s="1096">
        <f>C19+C20</f>
        <v>44240</v>
      </c>
      <c r="D18" s="1097">
        <f>D19+D20</f>
        <v>44624</v>
      </c>
      <c r="E18" s="1097">
        <f>E19+E20</f>
        <v>46660</v>
      </c>
      <c r="F18" s="1097">
        <f>F19+F20</f>
        <v>47032</v>
      </c>
      <c r="G18" s="1098">
        <f>G19+G20</f>
        <v>59126</v>
      </c>
      <c r="H18" s="9"/>
      <c r="I18" s="6"/>
      <c r="J18" s="6"/>
      <c r="K18" s="6"/>
      <c r="L18" s="6"/>
      <c r="M18" s="6"/>
    </row>
    <row r="19" spans="1:14" s="1" customFormat="1" x14ac:dyDescent="0.2">
      <c r="A19" s="1088" t="s">
        <v>688</v>
      </c>
      <c r="B19" s="1089" t="s">
        <v>22</v>
      </c>
      <c r="C19" s="1090">
        <v>0</v>
      </c>
      <c r="D19" s="1091">
        <v>0</v>
      </c>
      <c r="E19" s="1091">
        <v>0</v>
      </c>
      <c r="F19" s="1091">
        <v>0</v>
      </c>
      <c r="G19" s="1092">
        <v>0</v>
      </c>
      <c r="H19" s="9"/>
      <c r="I19" s="6"/>
      <c r="J19" s="6"/>
      <c r="K19" s="6"/>
    </row>
    <row r="20" spans="1:14" s="1" customFormat="1" x14ac:dyDescent="0.2">
      <c r="A20" s="1088" t="s">
        <v>689</v>
      </c>
      <c r="B20" s="1089" t="s">
        <v>23</v>
      </c>
      <c r="C20" s="1093">
        <f>SUM(C21:C21)</f>
        <v>44240</v>
      </c>
      <c r="D20" s="1094">
        <f>SUM(D21:D21)</f>
        <v>44624</v>
      </c>
      <c r="E20" s="1094">
        <f>SUM(E21:E21)</f>
        <v>46660</v>
      </c>
      <c r="F20" s="1094">
        <f>SUM(F21:F21)</f>
        <v>47032</v>
      </c>
      <c r="G20" s="1095">
        <f>SUM(G21:G21)</f>
        <v>59126</v>
      </c>
      <c r="H20" s="9"/>
      <c r="I20" s="6"/>
      <c r="J20" s="6"/>
      <c r="K20" s="6"/>
    </row>
    <row r="21" spans="1:14" x14ac:dyDescent="0.2">
      <c r="A21" s="1109" t="s">
        <v>708</v>
      </c>
      <c r="B21" s="1110" t="s">
        <v>310</v>
      </c>
      <c r="C21" s="1111">
        <v>44240</v>
      </c>
      <c r="D21" s="1112">
        <v>44624</v>
      </c>
      <c r="E21" s="1112">
        <v>46660</v>
      </c>
      <c r="F21" s="1112">
        <v>47032</v>
      </c>
      <c r="G21" s="1113">
        <v>59126</v>
      </c>
      <c r="H21" s="9"/>
      <c r="I21" s="6"/>
      <c r="J21" s="6"/>
      <c r="K21" s="6"/>
      <c r="L21" s="6"/>
      <c r="M21" s="6"/>
      <c r="N21" s="6"/>
    </row>
    <row r="22" spans="1:14" x14ac:dyDescent="0.2">
      <c r="A22" s="1099" t="s">
        <v>690</v>
      </c>
      <c r="B22" s="1100" t="s">
        <v>25</v>
      </c>
      <c r="C22" s="1101">
        <v>0</v>
      </c>
      <c r="D22" s="1102">
        <v>0</v>
      </c>
      <c r="E22" s="1102">
        <v>0</v>
      </c>
      <c r="F22" s="1102">
        <v>0</v>
      </c>
      <c r="G22" s="1103">
        <v>0</v>
      </c>
      <c r="H22" s="9"/>
      <c r="I22" s="6"/>
      <c r="J22" s="6"/>
      <c r="K22" s="6"/>
      <c r="L22" s="6"/>
      <c r="M22" s="6"/>
      <c r="N22" s="6"/>
    </row>
    <row r="23" spans="1:14" s="1" customFormat="1" ht="13.5" thickBot="1" x14ac:dyDescent="0.25">
      <c r="A23" s="559" t="s">
        <v>24</v>
      </c>
      <c r="B23" s="560" t="s">
        <v>691</v>
      </c>
      <c r="C23" s="535">
        <f>C26-C5-C15-C18-C22-C24</f>
        <v>12331.327000000048</v>
      </c>
      <c r="D23" s="536">
        <f>D26-D5-D15-D18-D22-D24</f>
        <v>22977.267748699989</v>
      </c>
      <c r="E23" s="536">
        <f>E26-E5-E15-E18-E22-E24</f>
        <v>32330.910617464455</v>
      </c>
      <c r="F23" s="536">
        <f>F26-F5-F15-F18-F22-F24</f>
        <v>43057.57388066547</v>
      </c>
      <c r="G23" s="537">
        <f>G26-G5-G15-G18-G22-G24</f>
        <v>50815.544054882135</v>
      </c>
      <c r="H23" s="9"/>
      <c r="I23" s="6"/>
      <c r="J23" s="6"/>
      <c r="K23" s="6"/>
    </row>
    <row r="24" spans="1:14" s="1" customFormat="1" ht="13.5" thickBot="1" x14ac:dyDescent="0.25">
      <c r="A24" s="566" t="s">
        <v>26</v>
      </c>
      <c r="B24" s="567" t="s">
        <v>692</v>
      </c>
      <c r="C24" s="568">
        <v>2150</v>
      </c>
      <c r="D24" s="569">
        <v>3748</v>
      </c>
      <c r="E24" s="569">
        <v>3202</v>
      </c>
      <c r="F24" s="569">
        <v>9038</v>
      </c>
      <c r="G24" s="570">
        <v>13886</v>
      </c>
      <c r="H24" s="9"/>
      <c r="I24" s="6"/>
      <c r="J24" s="6"/>
      <c r="K24" s="6"/>
      <c r="L24" s="6"/>
    </row>
    <row r="25" spans="1:14" ht="13.5" thickBot="1" x14ac:dyDescent="0.25">
      <c r="A25" s="3"/>
      <c r="B25" s="4"/>
      <c r="C25" s="24"/>
      <c r="D25" s="1003"/>
      <c r="E25" s="1003"/>
      <c r="F25" s="1003"/>
      <c r="G25" s="1003"/>
      <c r="H25" s="1005"/>
      <c r="I25" s="1005"/>
      <c r="J25" s="1005"/>
      <c r="K25" s="1005"/>
      <c r="L25" s="1005"/>
    </row>
    <row r="26" spans="1:14" s="1" customFormat="1" ht="13.5" thickBot="1" x14ac:dyDescent="0.25">
      <c r="A26" s="558"/>
      <c r="B26" s="554" t="s">
        <v>27</v>
      </c>
      <c r="C26" s="555">
        <f>C27+C33+C46</f>
        <v>539585.32700000005</v>
      </c>
      <c r="D26" s="556">
        <f>D27+D33+D46</f>
        <v>647959.26774869999</v>
      </c>
      <c r="E26" s="556">
        <f>E27+E33+E46</f>
        <v>655324.91061746445</v>
      </c>
      <c r="F26" s="556">
        <f>F27+F33+F46</f>
        <v>668251.57388066547</v>
      </c>
      <c r="G26" s="557">
        <f>G27+G33+G46</f>
        <v>730789.54405488214</v>
      </c>
      <c r="H26" s="9"/>
      <c r="I26" s="6"/>
      <c r="J26" s="6"/>
      <c r="K26" s="6"/>
    </row>
    <row r="27" spans="1:14" s="1" customFormat="1" x14ac:dyDescent="0.2">
      <c r="A27" s="561" t="s">
        <v>1</v>
      </c>
      <c r="B27" s="562" t="s">
        <v>28</v>
      </c>
      <c r="C27" s="563">
        <f>SUM(C28:C32)</f>
        <v>260129.32699999999</v>
      </c>
      <c r="D27" s="564">
        <f>SUM(D28:D32)</f>
        <v>279089.26774869999</v>
      </c>
      <c r="E27" s="564">
        <f>SUM(E28:E32)</f>
        <v>280086.91061746445</v>
      </c>
      <c r="F27" s="564">
        <f>SUM(F28:F32)</f>
        <v>306935.57388066547</v>
      </c>
      <c r="G27" s="565">
        <f>SUM(G28:G32)</f>
        <v>342903.54405488214</v>
      </c>
      <c r="H27" s="10"/>
      <c r="I27" s="6"/>
      <c r="J27" s="6"/>
      <c r="K27" s="6"/>
    </row>
    <row r="28" spans="1:14" s="1" customFormat="1" x14ac:dyDescent="0.2">
      <c r="A28" s="559" t="s">
        <v>29</v>
      </c>
      <c r="B28" s="560" t="s">
        <v>30</v>
      </c>
      <c r="C28" s="1187">
        <v>150000</v>
      </c>
      <c r="D28" s="1188">
        <f>C28</f>
        <v>150000</v>
      </c>
      <c r="E28" s="1188">
        <f>D28</f>
        <v>150000</v>
      </c>
      <c r="F28" s="1188">
        <f>E28</f>
        <v>150000</v>
      </c>
      <c r="G28" s="1189">
        <f>F28</f>
        <v>150000</v>
      </c>
      <c r="H28" s="10"/>
      <c r="I28" s="6"/>
      <c r="J28" s="6"/>
      <c r="K28" s="6"/>
    </row>
    <row r="29" spans="1:14" s="1" customFormat="1" x14ac:dyDescent="0.2">
      <c r="A29" s="201" t="s">
        <v>31</v>
      </c>
      <c r="B29" s="202" t="s">
        <v>693</v>
      </c>
      <c r="C29" s="1190">
        <v>11610</v>
      </c>
      <c r="D29" s="1191">
        <v>11610</v>
      </c>
      <c r="E29" s="1191">
        <v>11610</v>
      </c>
      <c r="F29" s="1191">
        <v>11610</v>
      </c>
      <c r="G29" s="1192">
        <v>11610</v>
      </c>
      <c r="H29" s="9"/>
      <c r="I29" s="6"/>
      <c r="J29" s="6"/>
      <c r="K29" s="6"/>
    </row>
    <row r="30" spans="1:14" s="1" customFormat="1" x14ac:dyDescent="0.2">
      <c r="A30" s="197" t="s">
        <v>32</v>
      </c>
      <c r="B30" s="198" t="s">
        <v>33</v>
      </c>
      <c r="C30" s="1193">
        <v>30000</v>
      </c>
      <c r="D30" s="1194">
        <v>30000</v>
      </c>
      <c r="E30" s="1194">
        <v>30000</v>
      </c>
      <c r="F30" s="1194">
        <v>30000</v>
      </c>
      <c r="G30" s="1195">
        <v>30000</v>
      </c>
      <c r="H30" s="9"/>
      <c r="I30" s="6"/>
      <c r="J30" s="6"/>
      <c r="K30" s="6"/>
    </row>
    <row r="31" spans="1:14" s="1" customFormat="1" x14ac:dyDescent="0.2">
      <c r="A31" s="189" t="s">
        <v>34</v>
      </c>
      <c r="B31" s="193" t="s">
        <v>35</v>
      </c>
      <c r="C31" s="1058">
        <v>43817</v>
      </c>
      <c r="D31" s="536">
        <f>C31+C32+'9 Cash flow'!C30</f>
        <v>58519.327000000005</v>
      </c>
      <c r="E31" s="536">
        <f>D31+D32+'9 Cash flow'!D30</f>
        <v>75479.267748700004</v>
      </c>
      <c r="F31" s="536">
        <f>E31+E32+'9 Cash flow'!E30</f>
        <v>73476.910617464469</v>
      </c>
      <c r="G31" s="537">
        <f>F31+F32+'9 Cash flow'!F30</f>
        <v>99325.573880665499</v>
      </c>
      <c r="H31" s="9"/>
      <c r="I31" s="6"/>
      <c r="J31" s="6"/>
      <c r="K31" s="6"/>
    </row>
    <row r="32" spans="1:14" s="1" customFormat="1" ht="13.5" thickBot="1" x14ac:dyDescent="0.25">
      <c r="A32" s="195" t="s">
        <v>36</v>
      </c>
      <c r="B32" s="196" t="s">
        <v>311</v>
      </c>
      <c r="C32" s="544">
        <f>'8 Výsledovka'!D30</f>
        <v>24702.327000000001</v>
      </c>
      <c r="D32" s="545">
        <f>'8 Výsledovka'!E30</f>
        <v>28959.940748699995</v>
      </c>
      <c r="E32" s="545">
        <f>'8 Výsledovka'!F30</f>
        <v>12997.642868764469</v>
      </c>
      <c r="F32" s="545">
        <f>'8 Výsledovka'!G30</f>
        <v>41848.663263201022</v>
      </c>
      <c r="G32" s="546">
        <f>'8 Výsledovka'!H30</f>
        <v>51967.970174216694</v>
      </c>
      <c r="H32" s="9"/>
      <c r="I32" s="6"/>
      <c r="J32" s="6"/>
      <c r="K32" s="6"/>
    </row>
    <row r="33" spans="1:13" s="1" customFormat="1" x14ac:dyDescent="0.2">
      <c r="A33" s="561" t="s">
        <v>694</v>
      </c>
      <c r="B33" s="562" t="s">
        <v>37</v>
      </c>
      <c r="C33" s="563">
        <f>C34+C35</f>
        <v>249412</v>
      </c>
      <c r="D33" s="564">
        <f>D34+D35</f>
        <v>333900</v>
      </c>
      <c r="E33" s="564">
        <f>E34+E35</f>
        <v>355658</v>
      </c>
      <c r="F33" s="564">
        <f>F34+F35</f>
        <v>347742</v>
      </c>
      <c r="G33" s="565">
        <f>G34+G35</f>
        <v>375970</v>
      </c>
      <c r="H33" s="9"/>
      <c r="I33" s="6"/>
      <c r="J33" s="6"/>
      <c r="K33" s="6"/>
    </row>
    <row r="34" spans="1:13" s="1" customFormat="1" x14ac:dyDescent="0.2">
      <c r="A34" s="197" t="s">
        <v>2</v>
      </c>
      <c r="B34" s="198" t="s">
        <v>38</v>
      </c>
      <c r="C34" s="532">
        <v>0</v>
      </c>
      <c r="D34" s="533">
        <f>C34+'8 Výsledovka'!E20</f>
        <v>3810</v>
      </c>
      <c r="E34" s="533">
        <f>D34+'8 Výsledovka'!F20</f>
        <v>9414</v>
      </c>
      <c r="F34" s="533">
        <f>E34+'8 Výsledovka'!G20</f>
        <v>3976</v>
      </c>
      <c r="G34" s="534">
        <f>F34+'8 Výsledovka'!H20</f>
        <v>5070</v>
      </c>
      <c r="H34" s="9"/>
      <c r="I34" s="6"/>
      <c r="J34" s="6"/>
      <c r="K34" s="6"/>
      <c r="L34" s="6"/>
      <c r="M34"/>
    </row>
    <row r="35" spans="1:13" s="1" customFormat="1" x14ac:dyDescent="0.2">
      <c r="A35" s="197" t="s">
        <v>14</v>
      </c>
      <c r="B35" s="198" t="s">
        <v>695</v>
      </c>
      <c r="C35" s="532">
        <f>C36+C39</f>
        <v>249412</v>
      </c>
      <c r="D35" s="533">
        <f>D36+D39</f>
        <v>330090</v>
      </c>
      <c r="E35" s="533">
        <f>E36+E39</f>
        <v>346244</v>
      </c>
      <c r="F35" s="533">
        <f>F36+F39</f>
        <v>343766</v>
      </c>
      <c r="G35" s="534">
        <f>G36+G39</f>
        <v>370900</v>
      </c>
      <c r="H35" s="9"/>
      <c r="I35" s="6"/>
      <c r="J35" s="6"/>
      <c r="K35" s="6"/>
      <c r="L35" s="6"/>
      <c r="M35"/>
    </row>
    <row r="36" spans="1:13" s="1" customFormat="1" x14ac:dyDescent="0.2">
      <c r="A36" s="189" t="s">
        <v>16</v>
      </c>
      <c r="B36" s="193" t="s">
        <v>39</v>
      </c>
      <c r="C36" s="535">
        <f>SUM(C37:C38)</f>
        <v>61232</v>
      </c>
      <c r="D36" s="536">
        <f>SUM(D37:D38)</f>
        <v>95160</v>
      </c>
      <c r="E36" s="536">
        <f>SUM(E37:E38)</f>
        <v>109952</v>
      </c>
      <c r="F36" s="536">
        <f>SUM(F37:F38)</f>
        <v>116652</v>
      </c>
      <c r="G36" s="537">
        <f>SUM(G37:G38)</f>
        <v>133652</v>
      </c>
      <c r="H36" s="9"/>
      <c r="I36" s="6"/>
      <c r="J36" s="6"/>
      <c r="K36" s="6"/>
    </row>
    <row r="37" spans="1:13" x14ac:dyDescent="0.2">
      <c r="A37" s="190" t="s">
        <v>696</v>
      </c>
      <c r="B37" s="194" t="s">
        <v>312</v>
      </c>
      <c r="C37" s="168">
        <v>14538</v>
      </c>
      <c r="D37" s="153">
        <v>39466</v>
      </c>
      <c r="E37" s="153">
        <v>35892</v>
      </c>
      <c r="F37" s="153">
        <v>20730</v>
      </c>
      <c r="G37" s="166">
        <v>12770</v>
      </c>
      <c r="H37" s="9"/>
      <c r="I37" s="6"/>
      <c r="J37" s="6"/>
      <c r="K37" s="6"/>
    </row>
    <row r="38" spans="1:13" x14ac:dyDescent="0.2">
      <c r="A38" s="199" t="s">
        <v>697</v>
      </c>
      <c r="B38" s="200" t="s">
        <v>698</v>
      </c>
      <c r="C38" s="538">
        <v>46694</v>
      </c>
      <c r="D38" s="539">
        <v>55694</v>
      </c>
      <c r="E38" s="539">
        <v>74060</v>
      </c>
      <c r="F38" s="539">
        <v>95922</v>
      </c>
      <c r="G38" s="540">
        <v>120882</v>
      </c>
      <c r="H38" s="9"/>
      <c r="I38" s="6"/>
      <c r="J38" s="6"/>
      <c r="K38" s="6"/>
    </row>
    <row r="39" spans="1:13" s="1" customFormat="1" x14ac:dyDescent="0.2">
      <c r="A39" s="189" t="s">
        <v>21</v>
      </c>
      <c r="B39" s="193" t="s">
        <v>40</v>
      </c>
      <c r="C39" s="535">
        <f>SUM(C40:C42)</f>
        <v>188180</v>
      </c>
      <c r="D39" s="536">
        <f>SUM(D40:D42)</f>
        <v>234930</v>
      </c>
      <c r="E39" s="536">
        <f>SUM(E40:E42)</f>
        <v>236292</v>
      </c>
      <c r="F39" s="536">
        <f>SUM(F40:F42)</f>
        <v>227114</v>
      </c>
      <c r="G39" s="537">
        <f>SUM(G40:G42)</f>
        <v>237248</v>
      </c>
      <c r="H39" s="1008"/>
      <c r="I39" s="6"/>
      <c r="J39" s="6"/>
      <c r="K39" s="6"/>
    </row>
    <row r="40" spans="1:13" s="1" customFormat="1" x14ac:dyDescent="0.2">
      <c r="A40" s="190" t="s">
        <v>689</v>
      </c>
      <c r="B40" s="194" t="s">
        <v>698</v>
      </c>
      <c r="C40" s="168">
        <v>69646</v>
      </c>
      <c r="D40" s="153">
        <v>67056</v>
      </c>
      <c r="E40" s="153">
        <v>56672</v>
      </c>
      <c r="F40" s="153">
        <v>34004</v>
      </c>
      <c r="G40" s="166">
        <v>36494</v>
      </c>
      <c r="H40" s="1008"/>
      <c r="I40" s="6"/>
      <c r="J40" s="6"/>
      <c r="K40" s="6"/>
    </row>
    <row r="41" spans="1:13" x14ac:dyDescent="0.2">
      <c r="A41" s="190" t="s">
        <v>699</v>
      </c>
      <c r="B41" s="194" t="s">
        <v>313</v>
      </c>
      <c r="C41" s="168">
        <v>82794</v>
      </c>
      <c r="D41" s="153">
        <v>115788</v>
      </c>
      <c r="E41" s="153">
        <v>119928</v>
      </c>
      <c r="F41" s="153">
        <v>138666</v>
      </c>
      <c r="G41" s="166">
        <v>145572</v>
      </c>
      <c r="H41" s="9"/>
      <c r="I41" s="6"/>
      <c r="J41" s="6"/>
      <c r="K41" s="6"/>
    </row>
    <row r="42" spans="1:13" x14ac:dyDescent="0.2">
      <c r="A42" s="190" t="s">
        <v>700</v>
      </c>
      <c r="B42" s="194" t="s">
        <v>701</v>
      </c>
      <c r="C42" s="168">
        <f>SUM(C43:C45)</f>
        <v>35740</v>
      </c>
      <c r="D42" s="153">
        <f>SUM(D43:D45)</f>
        <v>52086</v>
      </c>
      <c r="E42" s="153">
        <f>SUM(E43:E45)</f>
        <v>59692</v>
      </c>
      <c r="F42" s="153">
        <f>SUM(F43:F45)</f>
        <v>54444</v>
      </c>
      <c r="G42" s="166">
        <f>SUM(G43:G45)</f>
        <v>55182</v>
      </c>
      <c r="H42" s="9"/>
      <c r="I42" s="6"/>
      <c r="J42" s="6"/>
      <c r="K42" s="6"/>
    </row>
    <row r="43" spans="1:13" x14ac:dyDescent="0.2">
      <c r="A43" s="1104" t="s">
        <v>702</v>
      </c>
      <c r="B43" s="1105" t="s">
        <v>41</v>
      </c>
      <c r="C43" s="1106">
        <v>29370</v>
      </c>
      <c r="D43" s="1107">
        <v>43184</v>
      </c>
      <c r="E43" s="1107">
        <v>49758</v>
      </c>
      <c r="F43" s="1107">
        <v>44966</v>
      </c>
      <c r="G43" s="1108">
        <v>45678</v>
      </c>
      <c r="H43" s="9"/>
      <c r="I43" s="6"/>
      <c r="J43" s="6"/>
      <c r="K43" s="6"/>
    </row>
    <row r="44" spans="1:13" x14ac:dyDescent="0.2">
      <c r="A44" s="1104" t="s">
        <v>703</v>
      </c>
      <c r="B44" s="1105" t="s">
        <v>314</v>
      </c>
      <c r="C44" s="1106">
        <v>2978</v>
      </c>
      <c r="D44" s="1107">
        <v>3694</v>
      </c>
      <c r="E44" s="1107">
        <v>3630</v>
      </c>
      <c r="F44" s="1107">
        <v>3762</v>
      </c>
      <c r="G44" s="1108">
        <v>3946</v>
      </c>
      <c r="H44" s="9"/>
      <c r="I44" s="6"/>
      <c r="J44" s="6"/>
      <c r="K44" s="6"/>
    </row>
    <row r="45" spans="1:13" ht="13.5" thickBot="1" x14ac:dyDescent="0.25">
      <c r="A45" s="1109" t="s">
        <v>704</v>
      </c>
      <c r="B45" s="1110" t="s">
        <v>42</v>
      </c>
      <c r="C45" s="1111">
        <v>3392</v>
      </c>
      <c r="D45" s="1112">
        <v>5208</v>
      </c>
      <c r="E45" s="1112">
        <v>6304</v>
      </c>
      <c r="F45" s="1112">
        <v>5716</v>
      </c>
      <c r="G45" s="1113">
        <v>5558</v>
      </c>
      <c r="H45" s="9"/>
      <c r="I45" s="6"/>
      <c r="J45" s="6"/>
      <c r="K45" s="6"/>
    </row>
    <row r="46" spans="1:13" s="1" customFormat="1" ht="13.5" thickBot="1" x14ac:dyDescent="0.25">
      <c r="A46" s="566" t="s">
        <v>26</v>
      </c>
      <c r="B46" s="567" t="s">
        <v>705</v>
      </c>
      <c r="C46" s="568">
        <v>30044</v>
      </c>
      <c r="D46" s="569">
        <v>34970</v>
      </c>
      <c r="E46" s="569">
        <v>19580</v>
      </c>
      <c r="F46" s="569">
        <v>13574</v>
      </c>
      <c r="G46" s="570">
        <v>11916</v>
      </c>
      <c r="H46" s="9"/>
      <c r="I46" s="6"/>
      <c r="J46" s="6"/>
      <c r="K46" s="6"/>
      <c r="L46" s="6"/>
    </row>
    <row r="48" spans="1:13" x14ac:dyDescent="0.2">
      <c r="B48" s="4"/>
      <c r="C48" s="5"/>
      <c r="D48" s="5"/>
      <c r="E48" s="5"/>
      <c r="F48" s="5"/>
      <c r="G48" s="5"/>
    </row>
    <row r="50" spans="3:7" x14ac:dyDescent="0.2">
      <c r="C50" s="70"/>
      <c r="D50" s="70"/>
      <c r="E50" s="70"/>
      <c r="F50" s="70"/>
      <c r="G50" s="70"/>
    </row>
  </sheetData>
  <phoneticPr fontId="0" type="noConversion"/>
  <hyperlinks>
    <hyperlink ref="G1" location="Obsah!A1" display="Skok na obsah" xr:uid="{00000000-0004-0000-0700-000000000000}"/>
  </hyperlinks>
  <pageMargins left="0.39370078740157483" right="0.39370078740157483" top="0.98425196850393704" bottom="0.98425196850393704" header="0.51181102362204722" footer="0.51181102362204722"/>
  <pageSetup paperSize="9" orientation="portrait" r:id="rId1"/>
  <headerFooter alignWithMargins="0">
    <oddHeader>&amp;LMařík, M. a kol.: Metody oceňování podniku - 1. díl, Ekopress 2024&amp;RPříklad UNIPO, a.s.</oddHeader>
    <oddFooter>&amp;C&amp;A&amp;R&amp;"Arial CE,kurzíva"© M. Mařík, P. Maříková</oddFooter>
  </headerFooter>
  <ignoredErrors>
    <ignoredError sqref="D28:G29 D31:G32 D34:G34 C18:G18" unlocked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0"/>
  <sheetViews>
    <sheetView workbookViewId="0">
      <pane xSplit="3" ySplit="4" topLeftCell="D5" activePane="bottomRight" state="frozen"/>
      <selection pane="topRight" activeCell="D1" sqref="D1"/>
      <selection pane="bottomLeft" activeCell="A5" sqref="A5"/>
      <selection pane="bottomRight"/>
    </sheetView>
  </sheetViews>
  <sheetFormatPr defaultRowHeight="12.75" x14ac:dyDescent="0.2"/>
  <cols>
    <col min="1" max="1" width="4" customWidth="1"/>
    <col min="2" max="2" width="5.140625" customWidth="1"/>
    <col min="3" max="3" width="40.7109375" customWidth="1"/>
    <col min="4" max="8" width="9.7109375" bestFit="1" customWidth="1"/>
  </cols>
  <sheetData>
    <row r="1" spans="1:8" ht="21" customHeight="1" x14ac:dyDescent="0.2">
      <c r="A1" s="486" t="s">
        <v>444</v>
      </c>
      <c r="H1" s="926" t="s">
        <v>557</v>
      </c>
    </row>
    <row r="2" spans="1:8" ht="21" customHeight="1" x14ac:dyDescent="0.2">
      <c r="A2" s="547" t="s">
        <v>445</v>
      </c>
    </row>
    <row r="3" spans="1:8" ht="13.5" thickBot="1" x14ac:dyDescent="0.25">
      <c r="A3" t="s">
        <v>306</v>
      </c>
      <c r="B3" s="69"/>
      <c r="C3" s="69"/>
      <c r="D3" s="1020">
        <v>0.19</v>
      </c>
      <c r="E3" s="1020">
        <v>0.19</v>
      </c>
      <c r="F3" s="1020">
        <v>0.19</v>
      </c>
      <c r="G3" s="1020">
        <v>0.19</v>
      </c>
      <c r="H3" s="1020">
        <v>0.19</v>
      </c>
    </row>
    <row r="4" spans="1:8" ht="13.5" thickBot="1" x14ac:dyDescent="0.25">
      <c r="A4" s="548"/>
      <c r="B4" s="571"/>
      <c r="C4" s="549" t="s">
        <v>155</v>
      </c>
      <c r="D4" s="550">
        <f>výchozí_rok</f>
        <v>2012</v>
      </c>
      <c r="E4" s="551">
        <f>výchozí_rok+1</f>
        <v>2013</v>
      </c>
      <c r="F4" s="572">
        <f>výchozí_rok+2</f>
        <v>2014</v>
      </c>
      <c r="G4" s="551">
        <f>výchozí_rok+3</f>
        <v>2015</v>
      </c>
      <c r="H4" s="552">
        <f>výchozí_rok+4</f>
        <v>2016</v>
      </c>
    </row>
    <row r="5" spans="1:8" x14ac:dyDescent="0.2">
      <c r="A5" s="640" t="s">
        <v>709</v>
      </c>
      <c r="B5" s="641"/>
      <c r="C5" s="1128" t="s">
        <v>44</v>
      </c>
      <c r="D5" s="1129">
        <v>1439502</v>
      </c>
      <c r="E5" s="1130">
        <v>1766930</v>
      </c>
      <c r="F5" s="1131">
        <v>1831618</v>
      </c>
      <c r="G5" s="1130">
        <v>1893492</v>
      </c>
      <c r="H5" s="1132">
        <v>2054958</v>
      </c>
    </row>
    <row r="6" spans="1:8" x14ac:dyDescent="0.2">
      <c r="A6" s="190"/>
      <c r="B6" s="3" t="s">
        <v>1</v>
      </c>
      <c r="C6" s="194" t="s">
        <v>47</v>
      </c>
      <c r="D6" s="581">
        <f>D7+D8</f>
        <v>1244014</v>
      </c>
      <c r="E6" s="582">
        <f>E7+E8</f>
        <v>1557825</v>
      </c>
      <c r="F6" s="583">
        <f>F7+F8</f>
        <v>1616631</v>
      </c>
      <c r="G6" s="582">
        <f>G7+G8</f>
        <v>1658551</v>
      </c>
      <c r="H6" s="584">
        <f>H7+H8</f>
        <v>1802734</v>
      </c>
    </row>
    <row r="7" spans="1:8" x14ac:dyDescent="0.2">
      <c r="A7" s="190"/>
      <c r="B7" s="1118" t="s">
        <v>65</v>
      </c>
      <c r="C7" s="1105" t="s">
        <v>45</v>
      </c>
      <c r="D7" s="1119">
        <v>1214542</v>
      </c>
      <c r="E7" s="1120">
        <v>1528764</v>
      </c>
      <c r="F7" s="1121">
        <v>1591500</v>
      </c>
      <c r="G7" s="1120">
        <v>1630740</v>
      </c>
      <c r="H7" s="1122">
        <v>1771536</v>
      </c>
    </row>
    <row r="8" spans="1:8" x14ac:dyDescent="0.2">
      <c r="A8" s="199"/>
      <c r="B8" s="1123" t="s">
        <v>70</v>
      </c>
      <c r="C8" s="1110" t="s">
        <v>710</v>
      </c>
      <c r="D8" s="1124">
        <v>29472</v>
      </c>
      <c r="E8" s="1125">
        <v>29061</v>
      </c>
      <c r="F8" s="1126">
        <v>25131</v>
      </c>
      <c r="G8" s="1125">
        <v>27811</v>
      </c>
      <c r="H8" s="1127">
        <v>31198</v>
      </c>
    </row>
    <row r="9" spans="1:8" x14ac:dyDescent="0.2">
      <c r="A9" s="190"/>
      <c r="B9" s="3" t="s">
        <v>26</v>
      </c>
      <c r="C9" s="194" t="s">
        <v>48</v>
      </c>
      <c r="D9" s="589">
        <f>SUM(D10:D11)</f>
        <v>113854</v>
      </c>
      <c r="E9" s="590">
        <f>SUM(E10:E11)</f>
        <v>118548</v>
      </c>
      <c r="F9" s="591">
        <f>SUM(F10:F11)</f>
        <v>123054</v>
      </c>
      <c r="G9" s="590">
        <f>SUM(G10:G11)</f>
        <v>125664</v>
      </c>
      <c r="H9" s="592">
        <f>SUM(H10:H11)</f>
        <v>129686</v>
      </c>
    </row>
    <row r="10" spans="1:8" x14ac:dyDescent="0.2">
      <c r="A10" s="190"/>
      <c r="B10" s="1118" t="s">
        <v>711</v>
      </c>
      <c r="C10" s="1105" t="s">
        <v>49</v>
      </c>
      <c r="D10" s="1119">
        <v>84820</v>
      </c>
      <c r="E10" s="1120">
        <v>88386</v>
      </c>
      <c r="F10" s="1121">
        <v>91760</v>
      </c>
      <c r="G10" s="1120">
        <v>93648</v>
      </c>
      <c r="H10" s="1122">
        <v>96494</v>
      </c>
    </row>
    <row r="11" spans="1:8" x14ac:dyDescent="0.2">
      <c r="A11" s="199"/>
      <c r="B11" s="1123" t="s">
        <v>712</v>
      </c>
      <c r="C11" s="1110" t="s">
        <v>713</v>
      </c>
      <c r="D11" s="1124">
        <v>29034</v>
      </c>
      <c r="E11" s="1125">
        <v>30162</v>
      </c>
      <c r="F11" s="1126">
        <v>31294</v>
      </c>
      <c r="G11" s="1125">
        <v>32016</v>
      </c>
      <c r="H11" s="1127">
        <v>33192</v>
      </c>
    </row>
    <row r="12" spans="1:8" x14ac:dyDescent="0.2">
      <c r="A12" s="190"/>
      <c r="B12" s="3" t="s">
        <v>51</v>
      </c>
      <c r="C12" s="194" t="s">
        <v>714</v>
      </c>
      <c r="D12" s="589">
        <f>D13</f>
        <v>24292</v>
      </c>
      <c r="E12" s="590">
        <f>E13</f>
        <v>23096</v>
      </c>
      <c r="F12" s="591">
        <f>F13</f>
        <v>35640</v>
      </c>
      <c r="G12" s="590">
        <f>G13</f>
        <v>45310</v>
      </c>
      <c r="H12" s="592">
        <f>H13</f>
        <v>45372</v>
      </c>
    </row>
    <row r="13" spans="1:8" x14ac:dyDescent="0.2">
      <c r="A13" s="199"/>
      <c r="B13" s="1123" t="s">
        <v>715</v>
      </c>
      <c r="C13" s="1110" t="s">
        <v>716</v>
      </c>
      <c r="D13" s="1124">
        <v>24292</v>
      </c>
      <c r="E13" s="1125">
        <v>23096</v>
      </c>
      <c r="F13" s="1126">
        <v>35640</v>
      </c>
      <c r="G13" s="1125">
        <v>45310</v>
      </c>
      <c r="H13" s="1127">
        <v>45372</v>
      </c>
    </row>
    <row r="14" spans="1:8" x14ac:dyDescent="0.2">
      <c r="A14" s="190" t="s">
        <v>52</v>
      </c>
      <c r="B14" s="3"/>
      <c r="C14" s="194" t="s">
        <v>717</v>
      </c>
      <c r="D14" s="593">
        <f>SUM(D15:D16)</f>
        <v>733</v>
      </c>
      <c r="E14" s="594">
        <f>SUM(E15:E16)</f>
        <v>548</v>
      </c>
      <c r="F14" s="595">
        <f>SUM(F15:F16)</f>
        <v>406</v>
      </c>
      <c r="G14" s="594">
        <f>SUM(G15:G16)</f>
        <v>15472</v>
      </c>
      <c r="H14" s="596">
        <f>SUM(H15:H16)</f>
        <v>2833</v>
      </c>
    </row>
    <row r="15" spans="1:8" x14ac:dyDescent="0.2">
      <c r="A15" s="1104" t="s">
        <v>718</v>
      </c>
      <c r="B15" s="1118"/>
      <c r="C15" s="1105" t="s">
        <v>925</v>
      </c>
      <c r="D15" s="1119">
        <v>0</v>
      </c>
      <c r="E15" s="1120">
        <v>0</v>
      </c>
      <c r="F15" s="1121">
        <v>0</v>
      </c>
      <c r="G15" s="1120">
        <v>15370</v>
      </c>
      <c r="H15" s="1122">
        <v>0</v>
      </c>
    </row>
    <row r="16" spans="1:8" x14ac:dyDescent="0.2">
      <c r="A16" s="1109" t="s">
        <v>730</v>
      </c>
      <c r="B16" s="1123"/>
      <c r="C16" s="1110" t="s">
        <v>731</v>
      </c>
      <c r="D16" s="1124">
        <v>733</v>
      </c>
      <c r="E16" s="1125">
        <v>548</v>
      </c>
      <c r="F16" s="1126">
        <v>406</v>
      </c>
      <c r="G16" s="1125">
        <v>102</v>
      </c>
      <c r="H16" s="1127">
        <v>2833</v>
      </c>
    </row>
    <row r="17" spans="1:13" x14ac:dyDescent="0.2">
      <c r="A17" s="190"/>
      <c r="B17" s="3" t="s">
        <v>53</v>
      </c>
      <c r="C17" s="194" t="s">
        <v>719</v>
      </c>
      <c r="D17" s="589">
        <f>SUM(D18:D21)</f>
        <v>4719</v>
      </c>
      <c r="E17" s="590">
        <f>SUM(E18:E21)</f>
        <v>8881</v>
      </c>
      <c r="F17" s="591">
        <f>SUM(F18:F21)</f>
        <v>19478</v>
      </c>
      <c r="G17" s="590">
        <f>SUM(G18:G21)</f>
        <v>12406</v>
      </c>
      <c r="H17" s="592">
        <f>SUM(H18:H21)</f>
        <v>5584</v>
      </c>
    </row>
    <row r="18" spans="1:13" x14ac:dyDescent="0.2">
      <c r="A18" s="190"/>
      <c r="B18" s="1118" t="s">
        <v>720</v>
      </c>
      <c r="C18" s="1105" t="s">
        <v>721</v>
      </c>
      <c r="D18" s="1119">
        <v>0</v>
      </c>
      <c r="E18" s="1120">
        <v>0</v>
      </c>
      <c r="F18" s="1121">
        <v>0</v>
      </c>
      <c r="G18" s="1120">
        <v>6656</v>
      </c>
      <c r="H18" s="1122">
        <v>0</v>
      </c>
    </row>
    <row r="19" spans="1:13" x14ac:dyDescent="0.2">
      <c r="A19" s="190"/>
      <c r="B19" s="1118" t="s">
        <v>722</v>
      </c>
      <c r="C19" s="1105" t="s">
        <v>50</v>
      </c>
      <c r="D19" s="1119">
        <v>5230</v>
      </c>
      <c r="E19" s="1120">
        <v>4326</v>
      </c>
      <c r="F19" s="1121">
        <v>5404</v>
      </c>
      <c r="G19" s="1120">
        <v>6938</v>
      </c>
      <c r="H19" s="1122">
        <v>4110</v>
      </c>
    </row>
    <row r="20" spans="1:13" x14ac:dyDescent="0.2">
      <c r="A20" s="190"/>
      <c r="B20" s="1118" t="s">
        <v>723</v>
      </c>
      <c r="C20" s="1105" t="s">
        <v>926</v>
      </c>
      <c r="D20" s="1119">
        <v>-606</v>
      </c>
      <c r="E20" s="1120">
        <v>3810</v>
      </c>
      <c r="F20" s="1121">
        <v>5604</v>
      </c>
      <c r="G20" s="1120">
        <v>-5438</v>
      </c>
      <c r="H20" s="1122">
        <v>1094</v>
      </c>
    </row>
    <row r="21" spans="1:13" x14ac:dyDescent="0.2">
      <c r="A21" s="190"/>
      <c r="B21" s="1118" t="s">
        <v>732</v>
      </c>
      <c r="C21" s="1105" t="s">
        <v>733</v>
      </c>
      <c r="D21" s="1119">
        <v>95</v>
      </c>
      <c r="E21" s="1120">
        <v>745</v>
      </c>
      <c r="F21" s="1121">
        <v>8470</v>
      </c>
      <c r="G21" s="1120">
        <v>4250</v>
      </c>
      <c r="H21" s="1122">
        <v>380</v>
      </c>
    </row>
    <row r="22" spans="1:13" s="1" customFormat="1" ht="13.5" thickBot="1" x14ac:dyDescent="0.25">
      <c r="A22" s="204" t="s">
        <v>54</v>
      </c>
      <c r="B22" s="205"/>
      <c r="C22" s="206" t="s">
        <v>55</v>
      </c>
      <c r="D22" s="585">
        <f>D5-D6-D9-D12+D14-D17</f>
        <v>53356</v>
      </c>
      <c r="E22" s="586">
        <f>E5-E6-E9-E12+E14-E17</f>
        <v>59128</v>
      </c>
      <c r="F22" s="587">
        <f>F5-F6-F9-F12+F14-F17</f>
        <v>37221</v>
      </c>
      <c r="G22" s="586">
        <f>G5-G6-G9-G12+G14-G17</f>
        <v>67033</v>
      </c>
      <c r="H22" s="588">
        <f>H5-H6-H9-H12+H14-H17</f>
        <v>74415</v>
      </c>
    </row>
    <row r="23" spans="1:13" x14ac:dyDescent="0.2">
      <c r="A23" s="190" t="s">
        <v>724</v>
      </c>
      <c r="B23" s="3"/>
      <c r="C23" s="194" t="s">
        <v>726</v>
      </c>
      <c r="D23" s="593">
        <f>('7 Rozvaha'!C12*0.05)</f>
        <v>63.7</v>
      </c>
      <c r="E23" s="594">
        <f>('7 Rozvaha'!D12*0.05)</f>
        <v>63.7</v>
      </c>
      <c r="F23" s="595">
        <f>('7 Rozvaha'!E12*0.05)</f>
        <v>63.7</v>
      </c>
      <c r="G23" s="594">
        <f>('7 Rozvaha'!F12*0.05)</f>
        <v>63.7</v>
      </c>
      <c r="H23" s="596">
        <f>('7 Rozvaha'!G12*0.05)</f>
        <v>63.7</v>
      </c>
    </row>
    <row r="24" spans="1:13" x14ac:dyDescent="0.2">
      <c r="A24" s="190"/>
      <c r="B24" s="3"/>
      <c r="C24" s="194" t="s">
        <v>727</v>
      </c>
      <c r="D24" s="593">
        <v>145</v>
      </c>
      <c r="E24" s="594">
        <f>'7 Rozvaha'!C23*0.01</f>
        <v>123.31327000000049</v>
      </c>
      <c r="F24" s="595">
        <f>'7 Rozvaha'!D23*0.01</f>
        <v>229.7726774869999</v>
      </c>
      <c r="G24" s="594">
        <f>'7 Rozvaha'!E23*0.007</f>
        <v>226.31637432225119</v>
      </c>
      <c r="H24" s="596">
        <f>'7 Rozvaha'!F23*0.005</f>
        <v>215.28786940332736</v>
      </c>
    </row>
    <row r="25" spans="1:13" x14ac:dyDescent="0.2">
      <c r="A25" s="190"/>
      <c r="B25" s="3" t="s">
        <v>725</v>
      </c>
      <c r="C25" s="194" t="s">
        <v>58</v>
      </c>
      <c r="D25" s="593">
        <v>23068</v>
      </c>
      <c r="E25" s="594">
        <v>23562</v>
      </c>
      <c r="F25" s="595">
        <v>21468</v>
      </c>
      <c r="G25" s="594">
        <v>15658</v>
      </c>
      <c r="H25" s="596">
        <v>10536</v>
      </c>
      <c r="I25" s="256"/>
      <c r="J25" s="256"/>
      <c r="K25" s="256"/>
      <c r="L25" s="256"/>
      <c r="M25" s="256"/>
    </row>
    <row r="26" spans="1:13" s="1" customFormat="1" ht="13.5" thickBot="1" x14ac:dyDescent="0.25">
      <c r="A26" s="204" t="s">
        <v>54</v>
      </c>
      <c r="B26" s="205"/>
      <c r="C26" s="206" t="s">
        <v>59</v>
      </c>
      <c r="D26" s="585">
        <f>D23+D24-D25</f>
        <v>-22859.3</v>
      </c>
      <c r="E26" s="586">
        <f>E23+E24-E25</f>
        <v>-23374.986730000001</v>
      </c>
      <c r="F26" s="587">
        <f>F23+F24-F25</f>
        <v>-21174.527322513</v>
      </c>
      <c r="G26" s="586">
        <f>G23+G24-G25</f>
        <v>-15367.983625677749</v>
      </c>
      <c r="H26" s="588">
        <f>H23+H24-H25</f>
        <v>-10257.012130596673</v>
      </c>
    </row>
    <row r="27" spans="1:13" s="1" customFormat="1" x14ac:dyDescent="0.2">
      <c r="A27" s="1155" t="s">
        <v>60</v>
      </c>
      <c r="B27" s="1156"/>
      <c r="C27" s="1157" t="s">
        <v>318</v>
      </c>
      <c r="D27" s="1158">
        <f>D22+D26</f>
        <v>30496.7</v>
      </c>
      <c r="E27" s="1212">
        <f>E22+E26</f>
        <v>35753.013269999996</v>
      </c>
      <c r="F27" s="1212">
        <f>F22+F26</f>
        <v>16046.472677487</v>
      </c>
      <c r="G27" s="1212">
        <f>G22+G26</f>
        <v>51665.016374322251</v>
      </c>
      <c r="H27" s="1212">
        <f>H22+H26</f>
        <v>64157.987869403325</v>
      </c>
    </row>
    <row r="28" spans="1:13" ht="13.5" thickBot="1" x14ac:dyDescent="0.25">
      <c r="A28" s="190"/>
      <c r="B28" s="3" t="s">
        <v>738</v>
      </c>
      <c r="C28" s="194" t="s">
        <v>728</v>
      </c>
      <c r="D28" s="593">
        <f>D27*D3</f>
        <v>5794.3730000000005</v>
      </c>
      <c r="E28" s="594">
        <f>E27*E3</f>
        <v>6793.0725212999996</v>
      </c>
      <c r="F28" s="595">
        <f>F27*F3</f>
        <v>3048.8298087225298</v>
      </c>
      <c r="G28" s="594">
        <f>G27*G3</f>
        <v>9816.3531111212287</v>
      </c>
      <c r="H28" s="596">
        <f>H27*H3</f>
        <v>12190.017695186632</v>
      </c>
    </row>
    <row r="29" spans="1:13" s="1" customFormat="1" x14ac:dyDescent="0.2">
      <c r="A29" s="1133" t="s">
        <v>60</v>
      </c>
      <c r="B29" s="1134"/>
      <c r="C29" s="1135" t="s">
        <v>729</v>
      </c>
      <c r="D29" s="1136">
        <f>D27-D28</f>
        <v>24702.327000000001</v>
      </c>
      <c r="E29" s="1137">
        <f>E27-E28</f>
        <v>28959.940748699995</v>
      </c>
      <c r="F29" s="1137">
        <f>F27-F28</f>
        <v>12997.642868764469</v>
      </c>
      <c r="G29" s="1137">
        <f>G27-G28</f>
        <v>41848.663263201022</v>
      </c>
      <c r="H29" s="1138">
        <f>H27-H28</f>
        <v>51967.970174216694</v>
      </c>
    </row>
    <row r="30" spans="1:13" s="1" customFormat="1" ht="13.5" thickBot="1" x14ac:dyDescent="0.25">
      <c r="A30" s="1139" t="s">
        <v>61</v>
      </c>
      <c r="B30" s="1140"/>
      <c r="C30" s="1141" t="s">
        <v>317</v>
      </c>
      <c r="D30" s="1142">
        <f>D29</f>
        <v>24702.327000000001</v>
      </c>
      <c r="E30" s="1143">
        <f>E29</f>
        <v>28959.940748699995</v>
      </c>
      <c r="F30" s="1143">
        <f>F29</f>
        <v>12997.642868764469</v>
      </c>
      <c r="G30" s="1143">
        <f>G29</f>
        <v>41848.663263201022</v>
      </c>
      <c r="H30" s="1144">
        <f>H29</f>
        <v>51967.970174216694</v>
      </c>
    </row>
  </sheetData>
  <phoneticPr fontId="0" type="noConversion"/>
  <hyperlinks>
    <hyperlink ref="H1" location="Obsah!A1" display="Skok na obsah" xr:uid="{00000000-0004-0000-0800-000000000000}"/>
  </hyperlinks>
  <pageMargins left="0.39370078740157483" right="0.39370078740157483" top="0.98425196850393704" bottom="0.98425196850393704" header="0.51181102362204722" footer="0.51181102362204722"/>
  <pageSetup paperSize="9" scale="98" orientation="portrait" r:id="rId1"/>
  <headerFooter alignWithMargins="0">
    <oddHeader>&amp;LMařík, M. a kol.: Metody oceňování podniku - 1. díl, Ekopress 2024&amp;RPříklad UNIPO, a.s.</oddHeader>
    <oddFooter>&amp;C&amp;A&amp;R&amp;"Arial CE,kurzíva"© M. Mařík, P. Maříková</oddFooter>
  </headerFooter>
  <ignoredErrors>
    <ignoredError sqref="D9:H11 D15:H15" formulaRange="1"/>
    <ignoredError sqref="D25:H26" formulaRange="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1</vt:i4>
      </vt:variant>
    </vt:vector>
  </HeadingPairs>
  <TitlesOfParts>
    <vt:vector size="30" baseType="lpstr">
      <vt:lpstr>Obsah</vt:lpstr>
      <vt:lpstr>1 Regrese - Čas lin</vt:lpstr>
      <vt:lpstr>2 Regrese - SP exp</vt:lpstr>
      <vt:lpstr>3 Regrese - SP lin</vt:lpstr>
      <vt:lpstr>4 Vnější potenciál</vt:lpstr>
      <vt:lpstr>5 Vnitřní potenciál</vt:lpstr>
      <vt:lpstr>6 Tržby UNIPO</vt:lpstr>
      <vt:lpstr>7 Rozvaha</vt:lpstr>
      <vt:lpstr>8 Výsledovka</vt:lpstr>
      <vt:lpstr>9 Cash flow</vt:lpstr>
      <vt:lpstr>10 Struktura rozvahy</vt:lpstr>
      <vt:lpstr>11 Tempo rozvaha</vt:lpstr>
      <vt:lpstr>12 Struktura výsledovky</vt:lpstr>
      <vt:lpstr>13 Tempo výsledovka</vt:lpstr>
      <vt:lpstr>14 Ukazatele</vt:lpstr>
      <vt:lpstr>15 Rozdělení majektu</vt:lpstr>
      <vt:lpstr>16 Generátory</vt:lpstr>
      <vt:lpstr>17 Generátory - ocenění</vt:lpstr>
      <vt:lpstr>18 Plán</vt:lpstr>
      <vt:lpstr>19 nVK - CAPM</vt:lpstr>
      <vt:lpstr>20 nVK - Stavebnice</vt:lpstr>
      <vt:lpstr>21 WACC</vt:lpstr>
      <vt:lpstr>22 DCF</vt:lpstr>
      <vt:lpstr>23 EVA</vt:lpstr>
      <vt:lpstr>24 KČV</vt:lpstr>
      <vt:lpstr>25 Tržní porovnání</vt:lpstr>
      <vt:lpstr>26 Pohledávka</vt:lpstr>
      <vt:lpstr>27 Dluhopisy</vt:lpstr>
      <vt:lpstr>28 Souhrnné ocenění</vt:lpstr>
      <vt:lpstr>výchozí_rok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Tržní hodnota podniku UNIPO, a.s.</dc:title>
  <dc:subject>Mařík, M. a kol.: Metody oceňování podniku 2007</dc:subject>
  <dc:creator>Mařík Miloš</dc:creator>
  <cp:lastModifiedBy>Pavla Maříková</cp:lastModifiedBy>
  <cp:lastPrinted>2024-12-12T18:56:09Z</cp:lastPrinted>
  <dcterms:created xsi:type="dcterms:W3CDTF">2002-11-20T15:45:06Z</dcterms:created>
  <dcterms:modified xsi:type="dcterms:W3CDTF">2024-12-12T18:57:36Z</dcterms:modified>
</cp:coreProperties>
</file>